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Инженерка" sheetId="1" r:id="rId1"/>
    <sheet name="Смета 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Объём льноволокна ориентировочно, зависит от качества рубки</t>
        </r>
      </text>
    </comment>
    <comment ref="C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Если предполагается перетяжка пола через год, то объём уменьшить в два раза</t>
        </r>
      </text>
    </comment>
    <comment ref="C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Если вагонка будет длиной менее 2х метров то будут значительные отходы и к общей площали потолка необходимо добавить 20%
</t>
        </r>
      </text>
    </comment>
    <comment ref="C7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Объём просчитан для случая отделки стен вагонкой 2,2м длиной т.к. Подразумевается, что высота от пола до потолка будет около
 2,1м.
</t>
        </r>
      </text>
    </comment>
    <comment ref="C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Объём и размеры предварительны</t>
        </r>
      </text>
    </comment>
    <comment ref="C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Объём и размеры предварительны</t>
        </r>
      </text>
    </comment>
    <comment ref="D1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Цена печи условная. Выбор велик
</t>
        </r>
      </text>
    </comment>
    <comment ref="D1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Цена кирпича условная. Выбор на вкус
</t>
        </r>
      </text>
    </comment>
    <comment ref="C14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Высота приблизительно, нужно выверять на месте</t>
        </r>
      </text>
    </comment>
  </commentList>
</comments>
</file>

<file path=xl/sharedStrings.xml><?xml version="1.0" encoding="utf-8"?>
<sst xmlns="http://schemas.openxmlformats.org/spreadsheetml/2006/main" count="701" uniqueCount="304">
  <si>
    <t>м</t>
  </si>
  <si>
    <t>м2</t>
  </si>
  <si>
    <t>Объёмы (размеры)</t>
  </si>
  <si>
    <t>Итого за  работу, руб..</t>
  </si>
  <si>
    <t>шт</t>
  </si>
  <si>
    <t>м3</t>
  </si>
  <si>
    <t>Ед.изм.</t>
  </si>
  <si>
    <t>Цена за единицу работы (материала), руб..</t>
  </si>
  <si>
    <t>Высота сруба</t>
  </si>
  <si>
    <t>м.пог</t>
  </si>
  <si>
    <t>ИТОГО</t>
  </si>
  <si>
    <t>Тел. 89605521834</t>
  </si>
  <si>
    <t>Установка подоконника</t>
  </si>
  <si>
    <t>Монтаж отлива на окно</t>
  </si>
  <si>
    <t>Монтаж отлива на фрамугу</t>
  </si>
  <si>
    <t>Длина бани</t>
  </si>
  <si>
    <t>Ширина бани</t>
  </si>
  <si>
    <t>Высота помешений до потолка</t>
  </si>
  <si>
    <t>Формирование проёма фрамуги</t>
  </si>
  <si>
    <t>Откосы и обналичка  дверей (обналичка с двух сторон )</t>
  </si>
  <si>
    <t>Монтаж отливов на четыре стены по нижнему венцу бани (с прорезкой паза в бревне, прогибом канта на отливах для вставки в пропиленный паз бревна)</t>
  </si>
  <si>
    <t>Обработка чернового пола огнебиозащитным составом с двух сторон(в т.ч. половых лаг)</t>
  </si>
  <si>
    <t>Длина парилки</t>
  </si>
  <si>
    <t>Ширина парилки</t>
  </si>
  <si>
    <t>Если необходимо</t>
  </si>
  <si>
    <t>Формирование дверного проёма в рубленой стене с врезкой усадочного шипа</t>
  </si>
  <si>
    <t>Вставка дверей  (без доборов и обналички)</t>
  </si>
  <si>
    <t>Если количество дверей проставлено неточно, то  измените на своё значение</t>
  </si>
  <si>
    <t>Если количество окон проставлено неточно, то  измените на своё значение</t>
  </si>
  <si>
    <t>Устройство стандартной дровяной печи (без устройства монолитного фундамента, опора на половые лаги)(в т.ч. прохождение перекрытий, отделка кирпичём, огнезащита базальтом, прохождение кровли)</t>
  </si>
  <si>
    <t>Остекление окон (вырезанными заготовками стёкол)</t>
  </si>
  <si>
    <t>Остекление дверей (вырезанными заготовками стёкол)</t>
  </si>
  <si>
    <t>Формирование проёма под печь в рубленой стене с врезкой усадочного шипа.</t>
  </si>
  <si>
    <t>Исполнитель:  Коханов Игорь Васильевич</t>
  </si>
  <si>
    <t>Отделка бани</t>
  </si>
  <si>
    <t>Прочие возможные работы</t>
  </si>
  <si>
    <t xml:space="preserve">Формирование карнизов и обшивка их вагонкой или софитами и монтаж лобовых </t>
  </si>
  <si>
    <t>Монтаж водоотливных желобов</t>
  </si>
  <si>
    <t>Монтаж водоотливных воронок с водоотливной трубой</t>
  </si>
  <si>
    <t>http://hold.okis.ru/</t>
  </si>
  <si>
    <t>Значения в ячейках с зелёным фоном можете сами менять и смета автоматически всё пересчитает. Если  какието работы включены лишние то в колонке  " E " напротив ненужного вида работ просто поставьте значение ноль и смета  пересчитает общие  итоги по смете.</t>
  </si>
  <si>
    <t>Примечания исполнителя</t>
  </si>
  <si>
    <t>Глубина выемки грунта под фундаментную ленту</t>
  </si>
  <si>
    <t>Высота фундаментной ленты над землёй (высота цоколя)</t>
  </si>
  <si>
    <t>Ширина фундаментной ленты</t>
  </si>
  <si>
    <t>Выемка грунта  под ленту</t>
  </si>
  <si>
    <t>Заливка фундаментной ленты с выставлением опалубки и армированием (изготовление бетона вручную или на бетономешалке)</t>
  </si>
  <si>
    <t>Устройство песчаной подушки</t>
  </si>
  <si>
    <t>Устройство щебёночной  подушки</t>
  </si>
  <si>
    <t>Высота песчаной подушки</t>
  </si>
  <si>
    <t>Высота щебёночной подушки</t>
  </si>
  <si>
    <t>Итого высота ленты из бетона (над землёй + под землёй)</t>
  </si>
  <si>
    <t>Утепление пола утеплителем типа Урса слоем до 100мм (с укладкой плёнки гидроизоляции)</t>
  </si>
  <si>
    <t>Технология применима только при закрытом отводе воды (душевая кабинка, раковина, унитаз)</t>
  </si>
  <si>
    <t>Обивка  стен парилки  вагонкой из липы (или осины)(с монтажом фольги) (площади дверного и печного проёмов исключены)</t>
  </si>
  <si>
    <t>Плинтусовка парилки  (пол, стены, потолок)</t>
  </si>
  <si>
    <t>Длина моечной</t>
  </si>
  <si>
    <t>Ширина моечной</t>
  </si>
  <si>
    <t>Обивка  стен моечной  вагонкой (с монтажом плёнки гидроизоляции) (площади дверных проёмов исключены)</t>
  </si>
  <si>
    <t>Плинтусовка моечной  (пол, стены, потолок)</t>
  </si>
  <si>
    <t>Длина комнаты отдыха</t>
  </si>
  <si>
    <t>Ширина комнаты отдыха</t>
  </si>
  <si>
    <t>Длина предбанника</t>
  </si>
  <si>
    <t>Ширина предбанника</t>
  </si>
  <si>
    <t>Монтаж дополнительных потолочных балок (объём предварительный)</t>
  </si>
  <si>
    <t>Подруб сруба (поднятие на один венец на 20см брусом 200*200 или из круглого леса)</t>
  </si>
  <si>
    <t>Можете изменить на своё значение</t>
  </si>
  <si>
    <t>Измените на среднее вактическое значение высоты цоколя</t>
  </si>
  <si>
    <t>Фактическое количество столбиков по периметру бани (ориентировочно)</t>
  </si>
  <si>
    <t>Можете изменить на фактическое значение</t>
  </si>
  <si>
    <t>Расчётная длина бетонной ленты по периметру бани, отсекающей тёплые помещения бани(за минусом ширины столбиков)</t>
  </si>
  <si>
    <t>Монтаж дополнительных столбиков под половые лаги (в комнате отдыха) (объём предварительный)</t>
  </si>
  <si>
    <t>Монтаж чернового пола бани по готовым выровненым половым лагам (площадь парилки и открытой террасы исключена) (подразумевается что тамбур тёплый, если нет то площадь пола тамбура нужно исключить)</t>
  </si>
  <si>
    <t>Длина террасы</t>
  </si>
  <si>
    <t>Ширина террасы</t>
  </si>
  <si>
    <t>Плинтусовка террасы(только потолок)</t>
  </si>
  <si>
    <t>Средний диаметр брёвен в срубе</t>
  </si>
  <si>
    <t>Монтаж половых лаг по всей бане (расчёт на всю длину бани), в т.ч. на открытой террасе (опора на новую бетонную ленту и врезка в новый нижний венец, шаг 0,8м) (в т.ч.демонтаж существующих половых лаг)</t>
  </si>
  <si>
    <t xml:space="preserve">Монтаж чистового пола бани  (в т.ч. в парилке и на открытой террассе с зазорами) </t>
  </si>
  <si>
    <t>Плинтусовка предбанника (только потолок)</t>
  </si>
  <si>
    <t>Расчёт оплаты за работу по отделке бани  (без инженерных работ)</t>
  </si>
  <si>
    <t>Формирование оконных проёмов в рубленой стене с врезкой усадочного шипа</t>
  </si>
  <si>
    <t>Вставка окон в готовые проёмы без  отделки откосов и обналички</t>
  </si>
  <si>
    <t>Поставьте объём если необходимо остекление</t>
  </si>
  <si>
    <t>Если количество фрамуг проставлено неточно, то  измените на своё значение</t>
  </si>
  <si>
    <t>Вставка фрамуг  в готовые проёмы без отделки откосов и обналички</t>
  </si>
  <si>
    <t>Устройство потолочного люка</t>
  </si>
  <si>
    <t>Поставьте количество если необходимо остекление</t>
  </si>
  <si>
    <t>Поставьте количество если необходимо устройство люка</t>
  </si>
  <si>
    <t>Монтаж трапа на чердаке (ходовые из обрезной доски, по всей длине чердака шириной 1м)</t>
  </si>
  <si>
    <t>Если необходимо, если нет то поставьте значение ноль)</t>
  </si>
  <si>
    <t>Монтаж лесов с последующей разборкой</t>
  </si>
  <si>
    <t>10.01.2010г.</t>
  </si>
  <si>
    <t xml:space="preserve">Шлифовка  стен комнаты отдыха  </t>
  </si>
  <si>
    <t>Плинтусовка комнаты отдыха ( потолок) (без плинтусовки пола)</t>
  </si>
  <si>
    <t>Устройство кровли</t>
  </si>
  <si>
    <t>Длина крыши</t>
  </si>
  <si>
    <t>Ширина крыши в развёрнутом виде</t>
  </si>
  <si>
    <t>Монтаж кровли из шифера (или андулина, или профлиста) (в т.ч. Коньки, ветровые, карнизные)</t>
  </si>
  <si>
    <t>Монтаж дополнительных стоек на террасе (брус  100*100)</t>
  </si>
  <si>
    <t>Монтаж поручней по периметру из строганого бруса 100*50мм</t>
  </si>
  <si>
    <t>Монтаж балясин по периметру из строганого бруса 40*40мм</t>
  </si>
  <si>
    <t>Строгание (шлифовка) стоек (в т.ч. существующей) полностью (если нужно)</t>
  </si>
  <si>
    <t>Монтаж простых ступенек</t>
  </si>
  <si>
    <t>Если монтировать кровлю из металочерепицы то могут быть некоторые трудности. 1. Шаг обрешотки возможно невыдержан и придётся демонтировать и монтировать её вновь. 2.По факту могут  оказаться перекосы , невыдержанность диагоналей крыши, несимметричность стропил. Тогда придётся выравнивать всю стропильную систему. Всё это дополнительные работы. Вообще расценка по монтажу кровли из металочерепицы (с коньками, карнизными, ветровыми, без выравнивания стропильной системы) - 250 руб. 1м2.</t>
  </si>
  <si>
    <t>Конопатка сруба</t>
  </si>
  <si>
    <r>
      <t xml:space="preserve">Откосы на окна и обналичка с внутреней  </t>
    </r>
    <r>
      <rPr>
        <b/>
        <u val="single"/>
        <sz val="11"/>
        <rFont val="Calibri"/>
        <family val="2"/>
      </rPr>
      <t>и внешней</t>
    </r>
    <r>
      <rPr>
        <b/>
        <sz val="11"/>
        <rFont val="Calibri"/>
        <family val="2"/>
      </rPr>
      <t xml:space="preserve"> стороны</t>
    </r>
  </si>
  <si>
    <r>
      <t xml:space="preserve">Откосы на фрамугу и обналичка с внутреней и </t>
    </r>
    <r>
      <rPr>
        <b/>
        <u val="single"/>
        <sz val="11"/>
        <rFont val="Calibri"/>
        <family val="2"/>
      </rPr>
      <t>внешней</t>
    </r>
    <r>
      <rPr>
        <b/>
        <sz val="11"/>
        <rFont val="Calibri"/>
        <family val="2"/>
      </rPr>
      <t xml:space="preserve"> стороны</t>
    </r>
  </si>
  <si>
    <t>Материалы всего</t>
  </si>
  <si>
    <t>Ед.изм</t>
  </si>
  <si>
    <t>Объём</t>
  </si>
  <si>
    <t>Цена закупки, руб</t>
  </si>
  <si>
    <t>Итого стоимость закупки, руб.</t>
  </si>
  <si>
    <t>Обшие</t>
  </si>
  <si>
    <t>Наличники</t>
  </si>
  <si>
    <t>Вагонка сосна класса АБ</t>
  </si>
  <si>
    <t>Финишные гвозди оцинкованые 40мм</t>
  </si>
  <si>
    <t>кг</t>
  </si>
  <si>
    <t>Доска обрезная 25мм</t>
  </si>
  <si>
    <t xml:space="preserve">Саморезы чёрные  75мм </t>
  </si>
  <si>
    <t>Сенеж оген-био</t>
  </si>
  <si>
    <t>л</t>
  </si>
  <si>
    <t>Урса 100мм</t>
  </si>
  <si>
    <t>Роквол 100мм</t>
  </si>
  <si>
    <t>Плёнка гидропароизоляции типа Ютофол</t>
  </si>
  <si>
    <t>Скобы для стэплера</t>
  </si>
  <si>
    <t>пач</t>
  </si>
  <si>
    <t>Фольга</t>
  </si>
  <si>
    <t>Фольгированая клейкая лента для проклеивания швов</t>
  </si>
  <si>
    <t>Рул</t>
  </si>
  <si>
    <t>Вагонка липа (класс А, 95мм шириной,длиной 2,2м)</t>
  </si>
  <si>
    <t>Полки липа (2м длиной)</t>
  </si>
  <si>
    <t>Полки липа (1,5м длиной)</t>
  </si>
  <si>
    <t>Вагонка липа (для заделки проёмов под полками) (1,5м длиной)</t>
  </si>
  <si>
    <t>Саморезы оцинкованые 50мм</t>
  </si>
  <si>
    <t>Плинтуса липа</t>
  </si>
  <si>
    <t>м.пог.</t>
  </si>
  <si>
    <t>Брусок 50*50мм</t>
  </si>
  <si>
    <t>Окна деревянные, простые</t>
  </si>
  <si>
    <t>Подоконник деревянный</t>
  </si>
  <si>
    <t>Заготовки стекла</t>
  </si>
  <si>
    <t xml:space="preserve">Штапик </t>
  </si>
  <si>
    <t>Штапиковые гвозди</t>
  </si>
  <si>
    <t>Фрамуга</t>
  </si>
  <si>
    <t>Отлив 1м длиной</t>
  </si>
  <si>
    <t>Дверь в парилку</t>
  </si>
  <si>
    <t>Двери деревянные, простые</t>
  </si>
  <si>
    <t>Пена монтажная</t>
  </si>
  <si>
    <t>Брус нестроганый 100*150*3000мм</t>
  </si>
  <si>
    <t>Брус нестроганый 100*150*6000мм</t>
  </si>
  <si>
    <t>Брус нестроганый 100*100*6000мм</t>
  </si>
  <si>
    <t>Брус нестроганый 50*150*6000мм</t>
  </si>
  <si>
    <t>Крепёж оцинкованый 100*150мм</t>
  </si>
  <si>
    <t>Саморезы оцинкованые 100мм</t>
  </si>
  <si>
    <t xml:space="preserve">Гвозди 200  мм </t>
  </si>
  <si>
    <t xml:space="preserve">Гвозди 150  мм </t>
  </si>
  <si>
    <t xml:space="preserve">Гвозди 120  мм </t>
  </si>
  <si>
    <t>Затраты на бетон (песок, щебень, фери..)</t>
  </si>
  <si>
    <t>Материалы для лестницы</t>
  </si>
  <si>
    <t>Тетива</t>
  </si>
  <si>
    <t>Балясины</t>
  </si>
  <si>
    <t>Столб</t>
  </si>
  <si>
    <t>Ступени</t>
  </si>
  <si>
    <t>Поручни</t>
  </si>
  <si>
    <t>Порочие элементы</t>
  </si>
  <si>
    <t>Материалы для устройства банной печи</t>
  </si>
  <si>
    <t>Печь для бани</t>
  </si>
  <si>
    <t>Кирпич для облицовки</t>
  </si>
  <si>
    <t>Сэндвич оцинкованный, внутри труба из нержавейки</t>
  </si>
  <si>
    <t>Вьюшка</t>
  </si>
  <si>
    <t>Разделка (короб прохождения перекрытий)</t>
  </si>
  <si>
    <t>Зонт (колпак сверху трубы)</t>
  </si>
  <si>
    <t>Фланец проходной (гофрированая резинка на кровлю)</t>
  </si>
  <si>
    <t>Силикон</t>
  </si>
  <si>
    <t>Камни вулканит</t>
  </si>
  <si>
    <t>Лист нержавейки</t>
  </si>
  <si>
    <t>Прочее (в т.ч.базальт) (до 5%)</t>
  </si>
  <si>
    <t>Материалы для монтажа водосточной системы</t>
  </si>
  <si>
    <t>Желоб 2.0м</t>
  </si>
  <si>
    <t>Заглушки жёлоба</t>
  </si>
  <si>
    <t>Крюк короткий</t>
  </si>
  <si>
    <t>Саморезы белые</t>
  </si>
  <si>
    <t xml:space="preserve">Замок для желоба  </t>
  </si>
  <si>
    <t>Воронка (водоотливная)</t>
  </si>
  <si>
    <t>Колено SV</t>
  </si>
  <si>
    <t>Колено SU (выводная труба)</t>
  </si>
  <si>
    <t>Крепление на стену STT (для деревянной стены)</t>
  </si>
  <si>
    <t>Водосточная труба SS 2.5м</t>
  </si>
  <si>
    <t>ВСЕГО МАТЕРИАЛЫ</t>
  </si>
  <si>
    <t>Брус нестроганый 200*200*6000мм</t>
  </si>
  <si>
    <t>Итого за материалы , руб..</t>
  </si>
  <si>
    <t xml:space="preserve">Объём если будет полный подруб в один венец </t>
  </si>
  <si>
    <t>Объём бруса если будет полный подруб в один венец+поруб по 3м.стенам в полвенца)</t>
  </si>
  <si>
    <t>Объём рубероида  если будет полный подруб в один венец+поруб по 3м.стенам в полвенца)</t>
  </si>
  <si>
    <t>Рубероид</t>
  </si>
  <si>
    <t>Необязательно в рулонах</t>
  </si>
  <si>
    <t>Льноволокно (джут, пакля) 150мм в рул по 20м.пог</t>
  </si>
  <si>
    <t>Можете глубину изменить на своё значение</t>
  </si>
  <si>
    <t>Доска обрезная 40мм (на опалубку)</t>
  </si>
  <si>
    <t>Затраты на бетон (песок, щебень, арматура, вязальная проволока, фери..)</t>
  </si>
  <si>
    <t>Доска обрезная нестроганая 40мм</t>
  </si>
  <si>
    <t>Доска обрезная нестроганая 25мм</t>
  </si>
  <si>
    <t>Льноволокно (джут, пакля) шириной 150мм в рул по 20м.пог</t>
  </si>
  <si>
    <t>Отлив</t>
  </si>
  <si>
    <t>Отливы</t>
  </si>
  <si>
    <t>Крепёж оцинкованый 100*150мм (крепление балок на террасе)</t>
  </si>
  <si>
    <t>Блоки фундаментные 40*20*20</t>
  </si>
  <si>
    <t>Затраты на бетон (арматура,песок, щебень, фери..)</t>
  </si>
  <si>
    <t>Гвозди оцинкованные 150мм (для крепления доски на террасе)</t>
  </si>
  <si>
    <t>Половой брус  45мм 6м длиной</t>
  </si>
  <si>
    <t xml:space="preserve">Гвозди оцинкованные 150  мм </t>
  </si>
  <si>
    <t>Доска строганая нешпунтованая (для террасы) 50*150 6м длиной</t>
  </si>
  <si>
    <t>Вагонка липа (класс А, 95мм шириной,длиной  2м)</t>
  </si>
  <si>
    <t>Вагонка липа (класс А, 95мм шириной,длиной  2м)(на потолок парилки)</t>
  </si>
  <si>
    <t>Вагонка (класс АБ)</t>
  </si>
  <si>
    <t>Финишные гвозди</t>
  </si>
  <si>
    <t>Плёнка пароизоляции типа Ютофол</t>
  </si>
  <si>
    <t>Обивка  потолков бани вагонкой (в т.ч на террасе, в парилке, тамбуре)(с укладкой плёнки пароизоляции и монтажа фольги на потолок в парилке)</t>
  </si>
  <si>
    <t>Утепление потолка бани ( слоем до 100мм)(площадь потолка террасы исключена)</t>
  </si>
  <si>
    <t>Вагонка липа (класс А, 95мм шириной,длиной 2,2м) (в т.ч.на отделку доборов и откосов).</t>
  </si>
  <si>
    <t>Плинтус</t>
  </si>
  <si>
    <t>Монтаж полков</t>
  </si>
  <si>
    <t>Объём уточняется на месте</t>
  </si>
  <si>
    <t>Полки (1,5м длиной)</t>
  </si>
  <si>
    <t>Вагонка липовая (для заделки проёмов под полками) (1,5м длиной)</t>
  </si>
  <si>
    <t>Круг шлифовочный лепестковый на болгарку (крупн)</t>
  </si>
  <si>
    <t>Круг шлифовочный лепестковый на болгарку (мелк)</t>
  </si>
  <si>
    <t xml:space="preserve">Плинтус сосна </t>
  </si>
  <si>
    <t>Наличники (отделка с двух сторон проёма)</t>
  </si>
  <si>
    <t>Вагонка сосна класса АБ на отделку откосов (доборы)</t>
  </si>
  <si>
    <t>Отлив   оконный</t>
  </si>
  <si>
    <t>Отлив оконный</t>
  </si>
  <si>
    <t>Вагонка и наличники из отходов</t>
  </si>
  <si>
    <t xml:space="preserve">Вагонка сосна класса АБ на отделку откосов </t>
  </si>
  <si>
    <t>Доска обрезная нестроганая 40*150*6000мм</t>
  </si>
  <si>
    <t>Гвозди 150мм</t>
  </si>
  <si>
    <t>Профлист</t>
  </si>
  <si>
    <t>Коньки</t>
  </si>
  <si>
    <t>Гвозди 120мм</t>
  </si>
  <si>
    <t>Водоотливную систему можно купить и из оцинковки. Расчёт для материала хорошего качества</t>
  </si>
  <si>
    <t>Заглушки желоба</t>
  </si>
  <si>
    <t>Водосточная труба 1м</t>
  </si>
  <si>
    <t>Брус строганый 100*50*6000мм</t>
  </si>
  <si>
    <t>Брус строганый 50*100*6000мм</t>
  </si>
  <si>
    <t>Брусок строганый 40*40*2000мм</t>
  </si>
  <si>
    <t>Саморезы 55мм</t>
  </si>
  <si>
    <t xml:space="preserve">Саморезы чёрные  55мм </t>
  </si>
  <si>
    <t>Брус строганый 200*50*6000мм</t>
  </si>
  <si>
    <t>Брус строганый 50*200*6000мм</t>
  </si>
  <si>
    <t>Брусок 50*50мм нестроганый</t>
  </si>
  <si>
    <t>Саморезы крышные</t>
  </si>
  <si>
    <t xml:space="preserve">Расчёт предварительный, всё замеряется и уточняется на месте если нужно и пересчитывается.  Если какие-то виды работ возможно у Вас будут дополнительно  или наоборот я лишние включил то всё корректируется на месте. Наши стандартные пожелания: помещение для проживания бригады из 3х человек, место для стоянки легкового автомобиля, наличие электроэнэргии,  аванс на питание 3000 руб. в неделю на человека , отсутствие простоев ввиду отсутствия строительных материалов . Описать маршрут до объекта. Вся бригада Брянские, из одного города, Русские, трезвые, весь инструмент в наличии.  В колонке "Примечания заказчика" можете  написать вопросы если возникнут по позициям и выслать мне обратно смету. Объём работ отражённых в данной смете можем выполнить за три недели.
Если устраивают наши расценки, то время начала работ нужно согласовать
предварительно т.к. у нас уже формируется определённый график работ на этот год. </t>
  </si>
  <si>
    <t>Значения в колонке "D" можете изменять на свои и смета всё пересчитает!</t>
  </si>
  <si>
    <t>Смета на инженерные работы</t>
  </si>
  <si>
    <t>№</t>
  </si>
  <si>
    <t>Перечень работ</t>
  </si>
  <si>
    <t>Ед. изм.</t>
  </si>
  <si>
    <t>Объёмы</t>
  </si>
  <si>
    <t>Цена за единицу работ, руб.</t>
  </si>
  <si>
    <t>Итого, руб.</t>
  </si>
  <si>
    <t>Примечания</t>
  </si>
  <si>
    <t>Канализация</t>
  </si>
  <si>
    <t>Подвод к унитазу</t>
  </si>
  <si>
    <t>Точка</t>
  </si>
  <si>
    <t>Подвод к душевой кабине</t>
  </si>
  <si>
    <t>Подвод к умывальнику</t>
  </si>
  <si>
    <t>Итого канализация</t>
  </si>
  <si>
    <t>Вентиляция</t>
  </si>
  <si>
    <t>Подготовка проёма в стене</t>
  </si>
  <si>
    <t>Монтаж вентилятора</t>
  </si>
  <si>
    <t>Подготовка и прокладка воздуховода (длиной до 1м)</t>
  </si>
  <si>
    <t>Монтаж вентрешёток (если необходимо)</t>
  </si>
  <si>
    <t>Итого вентиляция</t>
  </si>
  <si>
    <t>Отопление</t>
  </si>
  <si>
    <t>Итого отопление</t>
  </si>
  <si>
    <t>Холодное водоснабжение</t>
  </si>
  <si>
    <t>Итого холодное водоснабжение</t>
  </si>
  <si>
    <t>Горячее водоснабжение</t>
  </si>
  <si>
    <t>Итого горячее водоснабжение</t>
  </si>
  <si>
    <t>Установка и подключение сантехники</t>
  </si>
  <si>
    <t>Унитаз</t>
  </si>
  <si>
    <t>Душевая кабина</t>
  </si>
  <si>
    <t>Умывальник</t>
  </si>
  <si>
    <t>Итого установка сантехники</t>
  </si>
  <si>
    <t>Электроснабжение</t>
  </si>
  <si>
    <t>Монтаж розеток</t>
  </si>
  <si>
    <t>Количество уточняется по факту</t>
  </si>
  <si>
    <t>Монтаж выключателей</t>
  </si>
  <si>
    <t>Монтаж светильников</t>
  </si>
  <si>
    <t>Устройство контура заземления</t>
  </si>
  <si>
    <t>Если необходим</t>
  </si>
  <si>
    <t>Уст. узо</t>
  </si>
  <si>
    <t>Уст. Автоматов защиты</t>
  </si>
  <si>
    <t>Разводка кабеля в гофре</t>
  </si>
  <si>
    <t>Объём уточняется по факту</t>
  </si>
  <si>
    <t>Монтаж распр. коробок</t>
  </si>
  <si>
    <t>Уличное освещение</t>
  </si>
  <si>
    <t>Диагностика ( тэстирование и настройки 4% от общей стоимости работ)</t>
  </si>
  <si>
    <t>Итого электроснабжение</t>
  </si>
  <si>
    <t>Интернет и телевидение</t>
  </si>
  <si>
    <t>Итого интернет и телевидение</t>
  </si>
  <si>
    <t>ВСЕГО</t>
  </si>
  <si>
    <t>Исполнитель  Коханов И.В.</t>
  </si>
  <si>
    <t>Kompaskiv@rambler.ru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</si>
</sst>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  <numFmt numFmtId="182" formatCode="#,##0_ ;\-#,##0\ "/>
    <numFmt numFmtId="183" formatCode="0.0000000"/>
    <numFmt numFmtId="184" formatCode="0.00000000"/>
    <numFmt numFmtId="185" formatCode="0.0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6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i/>
      <sz val="11"/>
      <name val="Calibri"/>
      <family val="2"/>
    </font>
    <font>
      <sz val="8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2" xfId="0" applyFill="1" applyBorder="1" applyAlignment="1">
      <alignment/>
    </xf>
    <xf numFmtId="174" fontId="0" fillId="34" borderId="12" xfId="0" applyNumberFormat="1" applyFont="1" applyFill="1" applyBorder="1" applyAlignment="1">
      <alignment horizontal="center" wrapText="1"/>
    </xf>
    <xf numFmtId="1" fontId="0" fillId="33" borderId="14" xfId="0" applyNumberFormat="1" applyFont="1" applyFill="1" applyBorder="1" applyAlignment="1">
      <alignment horizontal="center" wrapText="1"/>
    </xf>
    <xf numFmtId="2" fontId="0" fillId="34" borderId="12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" fontId="0" fillId="34" borderId="12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2" xfId="0" applyFont="1" applyBorder="1" applyAlignment="1">
      <alignment/>
    </xf>
    <xf numFmtId="1" fontId="28" fillId="34" borderId="12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" fontId="0" fillId="33" borderId="17" xfId="0" applyNumberFormat="1" applyFill="1" applyBorder="1" applyAlignment="1">
      <alignment horizontal="left" wrapText="1"/>
    </xf>
    <xf numFmtId="1" fontId="2" fillId="35" borderId="17" xfId="0" applyNumberFormat="1" applyFont="1" applyFill="1" applyBorder="1" applyAlignment="1">
      <alignment horizontal="left" wrapText="1"/>
    </xf>
    <xf numFmtId="1" fontId="0" fillId="35" borderId="17" xfId="0" applyNumberFormat="1" applyFill="1" applyBorder="1" applyAlignment="1">
      <alignment horizontal="left" wrapText="1"/>
    </xf>
    <xf numFmtId="1" fontId="4" fillId="0" borderId="12" xfId="0" applyNumberFormat="1" applyFont="1" applyBorder="1" applyAlignment="1">
      <alignment horizontal="center" wrapText="1"/>
    </xf>
    <xf numFmtId="1" fontId="4" fillId="35" borderId="17" xfId="0" applyNumberFormat="1" applyFont="1" applyFill="1" applyBorder="1" applyAlignment="1">
      <alignment horizontal="left" wrapText="1"/>
    </xf>
    <xf numFmtId="1" fontId="45" fillId="34" borderId="12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74" fontId="45" fillId="34" borderId="12" xfId="0" applyNumberFormat="1" applyFont="1" applyFill="1" applyBorder="1" applyAlignment="1">
      <alignment horizontal="center" wrapText="1"/>
    </xf>
    <xf numFmtId="0" fontId="41" fillId="0" borderId="0" xfId="43" applyAlignment="1" applyProtection="1">
      <alignment/>
      <protection/>
    </xf>
    <xf numFmtId="0" fontId="45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0" fillId="0" borderId="18" xfId="0" applyFill="1" applyBorder="1" applyAlignment="1">
      <alignment horizontal="center" wrapText="1"/>
    </xf>
    <xf numFmtId="0" fontId="54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1" fontId="2" fillId="0" borderId="16" xfId="0" applyNumberFormat="1" applyFont="1" applyBorder="1" applyAlignment="1">
      <alignment horizontal="left"/>
    </xf>
    <xf numFmtId="0" fontId="3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1" fontId="4" fillId="34" borderId="12" xfId="0" applyNumberFormat="1" applyFont="1" applyFill="1" applyBorder="1" applyAlignment="1">
      <alignment horizontal="center" wrapText="1"/>
    </xf>
    <xf numFmtId="0" fontId="55" fillId="0" borderId="18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2" fillId="0" borderId="14" xfId="0" applyFont="1" applyBorder="1" applyAlignment="1">
      <alignment/>
    </xf>
    <xf numFmtId="0" fontId="4" fillId="33" borderId="15" xfId="0" applyFont="1" applyFill="1" applyBorder="1" applyAlignment="1">
      <alignment wrapText="1"/>
    </xf>
    <xf numFmtId="0" fontId="28" fillId="33" borderId="15" xfId="0" applyFont="1" applyFill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2" fillId="33" borderId="15" xfId="0" applyFont="1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0" fontId="0" fillId="33" borderId="15" xfId="0" applyFill="1" applyBorder="1" applyAlignment="1">
      <alignment wrapText="1"/>
    </xf>
    <xf numFmtId="1" fontId="0" fillId="33" borderId="12" xfId="0" applyNumberForma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1" fillId="33" borderId="15" xfId="0" applyFont="1" applyFill="1" applyBorder="1" applyAlignment="1">
      <alignment wrapText="1"/>
    </xf>
    <xf numFmtId="1" fontId="0" fillId="33" borderId="12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/>
    </xf>
    <xf numFmtId="174" fontId="0" fillId="33" borderId="12" xfId="0" applyNumberFormat="1" applyFill="1" applyBorder="1" applyAlignment="1">
      <alignment horizontal="right"/>
    </xf>
    <xf numFmtId="1" fontId="0" fillId="33" borderId="12" xfId="0" applyNumberFormat="1" applyFont="1" applyFill="1" applyBorder="1" applyAlignment="1">
      <alignment/>
    </xf>
    <xf numFmtId="1" fontId="0" fillId="33" borderId="12" xfId="0" applyNumberFormat="1" applyFill="1" applyBorder="1" applyAlignment="1">
      <alignment horizontal="left" wrapText="1"/>
    </xf>
    <xf numFmtId="174" fontId="0" fillId="33" borderId="12" xfId="0" applyNumberFormat="1" applyFont="1" applyFill="1" applyBorder="1" applyAlignment="1">
      <alignment/>
    </xf>
    <xf numFmtId="0" fontId="0" fillId="36" borderId="15" xfId="0" applyFill="1" applyBorder="1" applyAlignment="1">
      <alignment wrapText="1"/>
    </xf>
    <xf numFmtId="0" fontId="0" fillId="36" borderId="12" xfId="0" applyFill="1" applyBorder="1" applyAlignment="1">
      <alignment/>
    </xf>
    <xf numFmtId="1" fontId="0" fillId="36" borderId="12" xfId="0" applyNumberForma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1" fontId="0" fillId="36" borderId="17" xfId="0" applyNumberFormat="1" applyFill="1" applyBorder="1" applyAlignment="1">
      <alignment horizontal="left"/>
    </xf>
    <xf numFmtId="1" fontId="0" fillId="36" borderId="23" xfId="0" applyNumberFormat="1" applyFill="1" applyBorder="1" applyAlignment="1">
      <alignment/>
    </xf>
    <xf numFmtId="174" fontId="0" fillId="36" borderId="12" xfId="0" applyNumberForma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2" fontId="0" fillId="36" borderId="12" xfId="0" applyNumberFormat="1" applyFill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0" fontId="45" fillId="33" borderId="22" xfId="0" applyFont="1" applyFill="1" applyBorder="1" applyAlignment="1">
      <alignment/>
    </xf>
    <xf numFmtId="173" fontId="0" fillId="36" borderId="12" xfId="0" applyNumberFormat="1" applyFill="1" applyBorder="1" applyAlignment="1">
      <alignment horizontal="center"/>
    </xf>
    <xf numFmtId="1" fontId="0" fillId="36" borderId="14" xfId="0" applyNumberFormat="1" applyFont="1" applyFill="1" applyBorder="1" applyAlignment="1">
      <alignment/>
    </xf>
    <xf numFmtId="0" fontId="1" fillId="36" borderId="15" xfId="0" applyFont="1" applyFill="1" applyBorder="1" applyAlignment="1">
      <alignment wrapText="1"/>
    </xf>
    <xf numFmtId="0" fontId="1" fillId="36" borderId="12" xfId="0" applyFont="1" applyFill="1" applyBorder="1" applyAlignment="1">
      <alignment/>
    </xf>
    <xf numFmtId="1" fontId="0" fillId="36" borderId="17" xfId="0" applyNumberFormat="1" applyFill="1" applyBorder="1" applyAlignment="1">
      <alignment horizontal="left" wrapText="1"/>
    </xf>
    <xf numFmtId="0" fontId="56" fillId="0" borderId="18" xfId="0" applyFont="1" applyBorder="1" applyAlignment="1">
      <alignment horizontal="center" wrapText="1"/>
    </xf>
    <xf numFmtId="1" fontId="45" fillId="33" borderId="22" xfId="0" applyNumberFormat="1" applyFont="1" applyFill="1" applyBorder="1" applyAlignment="1">
      <alignment/>
    </xf>
    <xf numFmtId="1" fontId="57" fillId="35" borderId="17" xfId="0" applyNumberFormat="1" applyFont="1" applyFill="1" applyBorder="1" applyAlignment="1">
      <alignment horizontal="left" wrapText="1"/>
    </xf>
    <xf numFmtId="1" fontId="57" fillId="34" borderId="12" xfId="0" applyNumberFormat="1" applyFont="1" applyFill="1" applyBorder="1" applyAlignment="1">
      <alignment horizontal="center" wrapText="1"/>
    </xf>
    <xf numFmtId="174" fontId="0" fillId="36" borderId="14" xfId="0" applyNumberFormat="1" applyFont="1" applyFill="1" applyBorder="1" applyAlignment="1">
      <alignment/>
    </xf>
    <xf numFmtId="0" fontId="1" fillId="33" borderId="24" xfId="0" applyFont="1" applyFill="1" applyBorder="1" applyAlignment="1">
      <alignment wrapText="1"/>
    </xf>
    <xf numFmtId="0" fontId="1" fillId="33" borderId="25" xfId="0" applyFont="1" applyFill="1" applyBorder="1" applyAlignment="1">
      <alignment/>
    </xf>
    <xf numFmtId="1" fontId="0" fillId="33" borderId="25" xfId="0" applyNumberFormat="1" applyFont="1" applyFill="1" applyBorder="1" applyAlignment="1">
      <alignment/>
    </xf>
    <xf numFmtId="1" fontId="0" fillId="33" borderId="25" xfId="0" applyNumberFormat="1" applyFill="1" applyBorder="1" applyAlignment="1">
      <alignment horizontal="left" wrapText="1"/>
    </xf>
    <xf numFmtId="0" fontId="0" fillId="33" borderId="26" xfId="0" applyFill="1" applyBorder="1" applyAlignment="1">
      <alignment/>
    </xf>
    <xf numFmtId="0" fontId="58" fillId="0" borderId="18" xfId="0" applyFont="1" applyBorder="1" applyAlignment="1">
      <alignment/>
    </xf>
    <xf numFmtId="0" fontId="54" fillId="0" borderId="23" xfId="0" applyFont="1" applyBorder="1" applyAlignment="1">
      <alignment horizontal="center" wrapText="1"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/>
    </xf>
    <xf numFmtId="0" fontId="54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1" fontId="55" fillId="0" borderId="23" xfId="0" applyNumberFormat="1" applyFont="1" applyBorder="1" applyAlignment="1">
      <alignment wrapText="1"/>
    </xf>
    <xf numFmtId="0" fontId="55" fillId="0" borderId="23" xfId="0" applyFont="1" applyBorder="1" applyAlignment="1">
      <alignment wrapText="1"/>
    </xf>
    <xf numFmtId="1" fontId="0" fillId="33" borderId="22" xfId="0" applyNumberFormat="1" applyFill="1" applyBorder="1" applyAlignment="1">
      <alignment horizontal="right"/>
    </xf>
    <xf numFmtId="0" fontId="45" fillId="33" borderId="13" xfId="0" applyFont="1" applyFill="1" applyBorder="1" applyAlignment="1">
      <alignment wrapText="1"/>
    </xf>
    <xf numFmtId="0" fontId="45" fillId="33" borderId="10" xfId="0" applyFont="1" applyFill="1" applyBorder="1" applyAlignment="1">
      <alignment/>
    </xf>
    <xf numFmtId="1" fontId="45" fillId="33" borderId="10" xfId="0" applyNumberFormat="1" applyFont="1" applyFill="1" applyBorder="1" applyAlignment="1">
      <alignment horizontal="center"/>
    </xf>
    <xf numFmtId="1" fontId="45" fillId="33" borderId="10" xfId="0" applyNumberFormat="1" applyFont="1" applyFill="1" applyBorder="1" applyAlignment="1">
      <alignment horizontal="left"/>
    </xf>
    <xf numFmtId="1" fontId="45" fillId="33" borderId="27" xfId="0" applyNumberFormat="1" applyFont="1" applyFill="1" applyBorder="1" applyAlignment="1">
      <alignment/>
    </xf>
    <xf numFmtId="2" fontId="0" fillId="33" borderId="12" xfId="0" applyNumberFormat="1" applyFill="1" applyBorder="1" applyAlignment="1">
      <alignment horizontal="right"/>
    </xf>
    <xf numFmtId="1" fontId="0" fillId="33" borderId="25" xfId="0" applyNumberFormat="1" applyFill="1" applyBorder="1" applyAlignment="1">
      <alignment horizontal="right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8" fillId="37" borderId="12" xfId="0" applyFont="1" applyFill="1" applyBorder="1" applyAlignment="1">
      <alignment vertical="top" wrapText="1"/>
    </xf>
    <xf numFmtId="0" fontId="54" fillId="0" borderId="22" xfId="0" applyFont="1" applyBorder="1" applyAlignment="1">
      <alignment vertical="top" wrapText="1"/>
    </xf>
    <xf numFmtId="0" fontId="28" fillId="0" borderId="12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28" fillId="0" borderId="25" xfId="0" applyFont="1" applyBorder="1" applyAlignment="1">
      <alignment vertical="top" wrapText="1"/>
    </xf>
    <xf numFmtId="0" fontId="28" fillId="0" borderId="25" xfId="0" applyFont="1" applyBorder="1" applyAlignment="1">
      <alignment horizontal="center" vertical="top" wrapText="1"/>
    </xf>
    <xf numFmtId="0" fontId="28" fillId="37" borderId="25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8" fillId="33" borderId="12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45" fillId="0" borderId="10" xfId="0" applyFont="1" applyFill="1" applyBorder="1" applyAlignment="1">
      <alignment vertical="top" wrapText="1"/>
    </xf>
    <xf numFmtId="0" fontId="0" fillId="0" borderId="27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 wrapText="1"/>
    </xf>
    <xf numFmtId="0" fontId="59" fillId="0" borderId="0" xfId="0" applyFont="1" applyAlignment="1">
      <alignment wrapText="1"/>
    </xf>
    <xf numFmtId="0" fontId="60" fillId="0" borderId="31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6" fillId="0" borderId="32" xfId="0" applyNumberFormat="1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1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mpaskiv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old.okis.ru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421875" style="0" customWidth="1"/>
    <col min="2" max="2" width="27.140625" style="0" customWidth="1"/>
    <col min="3" max="3" width="8.57421875" style="0" customWidth="1"/>
    <col min="4" max="4" width="8.28125" style="0" customWidth="1"/>
    <col min="6" max="6" width="8.140625" style="0" customWidth="1"/>
    <col min="7" max="7" width="20.00390625" style="0" customWidth="1"/>
  </cols>
  <sheetData>
    <row r="1" spans="2:7" ht="15">
      <c r="B1" s="138" t="s">
        <v>252</v>
      </c>
      <c r="C1" s="138"/>
      <c r="D1" s="138"/>
      <c r="E1" s="138"/>
      <c r="F1" s="138"/>
      <c r="G1" s="138"/>
    </row>
    <row r="2" spans="1:7" ht="19.5" thickBot="1">
      <c r="A2" s="139" t="s">
        <v>253</v>
      </c>
      <c r="B2" s="139"/>
      <c r="C2" s="139"/>
      <c r="D2" s="139"/>
      <c r="E2" s="139"/>
      <c r="F2" s="139"/>
      <c r="G2" s="139"/>
    </row>
    <row r="3" spans="1:7" ht="68.25" customHeight="1">
      <c r="A3" s="107" t="s">
        <v>254</v>
      </c>
      <c r="B3" s="108" t="s">
        <v>255</v>
      </c>
      <c r="C3" s="108" t="s">
        <v>256</v>
      </c>
      <c r="D3" s="109" t="s">
        <v>257</v>
      </c>
      <c r="E3" s="108" t="s">
        <v>258</v>
      </c>
      <c r="F3" s="108" t="s">
        <v>259</v>
      </c>
      <c r="G3" s="110" t="s">
        <v>260</v>
      </c>
    </row>
    <row r="4" spans="1:7" ht="15.75" customHeight="1">
      <c r="A4" s="111"/>
      <c r="B4" s="134" t="s">
        <v>261</v>
      </c>
      <c r="C4" s="134"/>
      <c r="D4" s="135"/>
      <c r="E4" s="135"/>
      <c r="F4" s="135"/>
      <c r="G4" s="112"/>
    </row>
    <row r="5" spans="1:7" ht="15">
      <c r="A5" s="113">
        <v>1</v>
      </c>
      <c r="B5" s="114" t="s">
        <v>262</v>
      </c>
      <c r="C5" s="114" t="s">
        <v>263</v>
      </c>
      <c r="D5" s="115">
        <v>1</v>
      </c>
      <c r="E5" s="114">
        <v>1100</v>
      </c>
      <c r="F5" s="114">
        <f>D5*E5</f>
        <v>1100</v>
      </c>
      <c r="G5" s="116"/>
    </row>
    <row r="6" spans="1:7" ht="15">
      <c r="A6" s="113">
        <v>2</v>
      </c>
      <c r="B6" s="114" t="s">
        <v>264</v>
      </c>
      <c r="C6" s="114" t="s">
        <v>263</v>
      </c>
      <c r="D6" s="115">
        <v>1</v>
      </c>
      <c r="E6" s="114">
        <v>1100</v>
      </c>
      <c r="F6" s="114">
        <f>D6*E6</f>
        <v>1100</v>
      </c>
      <c r="G6" s="116"/>
    </row>
    <row r="7" spans="1:7" ht="15">
      <c r="A7" s="113">
        <v>3</v>
      </c>
      <c r="B7" s="114" t="s">
        <v>265</v>
      </c>
      <c r="C7" s="114" t="s">
        <v>263</v>
      </c>
      <c r="D7" s="115">
        <v>1</v>
      </c>
      <c r="E7" s="114">
        <v>1100</v>
      </c>
      <c r="F7" s="114">
        <f>D7*E7</f>
        <v>1100</v>
      </c>
      <c r="G7" s="116"/>
    </row>
    <row r="8" spans="1:7" ht="15">
      <c r="A8" s="113"/>
      <c r="B8" s="114"/>
      <c r="C8" s="117"/>
      <c r="D8" s="115"/>
      <c r="E8" s="114"/>
      <c r="F8" s="114"/>
      <c r="G8" s="116"/>
    </row>
    <row r="9" spans="1:7" ht="15.75" thickBot="1">
      <c r="A9" s="118"/>
      <c r="B9" s="119"/>
      <c r="C9" s="120"/>
      <c r="D9" s="121"/>
      <c r="E9" s="119"/>
      <c r="F9" s="119"/>
      <c r="G9" s="116"/>
    </row>
    <row r="10" spans="1:7" ht="15.75" thickBot="1">
      <c r="A10" s="122"/>
      <c r="B10" s="123" t="s">
        <v>266</v>
      </c>
      <c r="C10" s="124"/>
      <c r="D10" s="125"/>
      <c r="E10" s="125"/>
      <c r="F10" s="123">
        <f>SUM(F5:F9)</f>
        <v>3300</v>
      </c>
      <c r="G10" s="126"/>
    </row>
    <row r="11" spans="1:7" ht="15.75" customHeight="1">
      <c r="A11" s="111"/>
      <c r="B11" s="136" t="s">
        <v>267</v>
      </c>
      <c r="C11" s="136"/>
      <c r="D11" s="137"/>
      <c r="E11" s="137"/>
      <c r="F11" s="137"/>
      <c r="G11" s="112"/>
    </row>
    <row r="12" spans="1:7" ht="15">
      <c r="A12" s="113">
        <v>1</v>
      </c>
      <c r="B12" s="114" t="s">
        <v>268</v>
      </c>
      <c r="C12" s="117" t="s">
        <v>4</v>
      </c>
      <c r="D12" s="115">
        <v>1</v>
      </c>
      <c r="E12" s="114">
        <v>500</v>
      </c>
      <c r="F12" s="114">
        <f>D12*E12</f>
        <v>500</v>
      </c>
      <c r="G12" s="116"/>
    </row>
    <row r="13" spans="1:7" ht="15">
      <c r="A13" s="113">
        <v>2</v>
      </c>
      <c r="B13" s="114" t="s">
        <v>269</v>
      </c>
      <c r="C13" s="117" t="s">
        <v>4</v>
      </c>
      <c r="D13" s="115">
        <v>1</v>
      </c>
      <c r="E13" s="114">
        <v>1000</v>
      </c>
      <c r="F13" s="114">
        <f>D13*E13</f>
        <v>1000</v>
      </c>
      <c r="G13" s="116"/>
    </row>
    <row r="14" spans="1:7" ht="45">
      <c r="A14" s="118">
        <v>3</v>
      </c>
      <c r="B14" s="119" t="s">
        <v>270</v>
      </c>
      <c r="C14" s="117" t="s">
        <v>4</v>
      </c>
      <c r="D14" s="121">
        <v>1</v>
      </c>
      <c r="E14" s="119">
        <v>300</v>
      </c>
      <c r="F14" s="119">
        <f>D14*E14</f>
        <v>300</v>
      </c>
      <c r="G14" s="116"/>
    </row>
    <row r="15" spans="1:7" ht="30.75" thickBot="1">
      <c r="A15" s="113">
        <v>4</v>
      </c>
      <c r="B15" s="114" t="s">
        <v>271</v>
      </c>
      <c r="C15" s="117" t="s">
        <v>4</v>
      </c>
      <c r="D15" s="115">
        <v>2</v>
      </c>
      <c r="E15" s="114">
        <v>100</v>
      </c>
      <c r="F15" s="114">
        <f>D15*E15</f>
        <v>200</v>
      </c>
      <c r="G15" s="116"/>
    </row>
    <row r="16" spans="1:7" ht="15.75" thickBot="1">
      <c r="A16" s="122"/>
      <c r="B16" s="123" t="s">
        <v>272</v>
      </c>
      <c r="C16" s="124"/>
      <c r="D16" s="125"/>
      <c r="E16" s="125"/>
      <c r="F16" s="123">
        <f>SUM(F12:F15)</f>
        <v>2000</v>
      </c>
      <c r="G16" s="126"/>
    </row>
    <row r="17" spans="1:7" ht="15">
      <c r="A17" s="111"/>
      <c r="B17" s="136" t="s">
        <v>273</v>
      </c>
      <c r="C17" s="136"/>
      <c r="D17" s="137"/>
      <c r="E17" s="137"/>
      <c r="F17" s="137"/>
      <c r="G17" s="112"/>
    </row>
    <row r="18" spans="1:7" ht="15.75" thickBot="1">
      <c r="A18" s="113">
        <v>1</v>
      </c>
      <c r="B18" s="114"/>
      <c r="C18" s="117"/>
      <c r="D18" s="115"/>
      <c r="E18" s="114"/>
      <c r="F18" s="114"/>
      <c r="G18" s="116"/>
    </row>
    <row r="19" spans="1:7" ht="15.75" thickBot="1">
      <c r="A19" s="122"/>
      <c r="B19" s="123" t="s">
        <v>274</v>
      </c>
      <c r="C19" s="124"/>
      <c r="D19" s="125"/>
      <c r="E19" s="125"/>
      <c r="F19" s="123">
        <f>SUM(F18:F18)</f>
        <v>0</v>
      </c>
      <c r="G19" s="126"/>
    </row>
    <row r="20" spans="1:7" ht="15">
      <c r="A20" s="111"/>
      <c r="B20" s="136" t="s">
        <v>275</v>
      </c>
      <c r="C20" s="136"/>
      <c r="D20" s="137"/>
      <c r="E20" s="137"/>
      <c r="F20" s="137"/>
      <c r="G20" s="112"/>
    </row>
    <row r="21" spans="1:7" ht="15">
      <c r="A21" s="113">
        <v>1</v>
      </c>
      <c r="B21" s="114" t="s">
        <v>262</v>
      </c>
      <c r="C21" s="114" t="s">
        <v>263</v>
      </c>
      <c r="D21" s="115">
        <v>1</v>
      </c>
      <c r="E21" s="114">
        <v>2000</v>
      </c>
      <c r="F21" s="114">
        <f>D21*E21</f>
        <v>2000</v>
      </c>
      <c r="G21" s="116"/>
    </row>
    <row r="22" spans="1:7" ht="15">
      <c r="A22" s="113">
        <v>2</v>
      </c>
      <c r="B22" s="114" t="s">
        <v>264</v>
      </c>
      <c r="C22" s="114" t="s">
        <v>263</v>
      </c>
      <c r="D22" s="115">
        <v>1</v>
      </c>
      <c r="E22" s="114">
        <v>2000</v>
      </c>
      <c r="F22" s="114">
        <f>D22*E22</f>
        <v>2000</v>
      </c>
      <c r="G22" s="116"/>
    </row>
    <row r="23" spans="1:7" ht="15">
      <c r="A23" s="113">
        <v>3</v>
      </c>
      <c r="B23" s="114" t="s">
        <v>265</v>
      </c>
      <c r="C23" s="114" t="s">
        <v>263</v>
      </c>
      <c r="D23" s="115">
        <v>1</v>
      </c>
      <c r="E23" s="114">
        <v>2000</v>
      </c>
      <c r="F23" s="114">
        <f>D23*E23</f>
        <v>2000</v>
      </c>
      <c r="G23" s="116"/>
    </row>
    <row r="24" spans="1:7" ht="15">
      <c r="A24" s="113"/>
      <c r="B24" s="114"/>
      <c r="C24" s="114"/>
      <c r="D24" s="115"/>
      <c r="E24" s="114"/>
      <c r="F24" s="114"/>
      <c r="G24" s="116"/>
    </row>
    <row r="25" spans="1:7" ht="15.75" thickBot="1">
      <c r="A25" s="118"/>
      <c r="B25" s="119"/>
      <c r="C25" s="119"/>
      <c r="D25" s="121"/>
      <c r="E25" s="119"/>
      <c r="F25" s="119"/>
      <c r="G25" s="116"/>
    </row>
    <row r="26" spans="1:7" ht="30.75" thickBot="1">
      <c r="A26" s="122"/>
      <c r="B26" s="123" t="s">
        <v>276</v>
      </c>
      <c r="C26" s="124"/>
      <c r="D26" s="125"/>
      <c r="E26" s="125"/>
      <c r="F26" s="123">
        <f>SUM(F21:F25)</f>
        <v>6000</v>
      </c>
      <c r="G26" s="126"/>
    </row>
    <row r="27" spans="1:7" ht="15">
      <c r="A27" s="111"/>
      <c r="B27" s="136" t="s">
        <v>277</v>
      </c>
      <c r="C27" s="136"/>
      <c r="D27" s="137"/>
      <c r="E27" s="137"/>
      <c r="F27" s="137"/>
      <c r="G27" s="112"/>
    </row>
    <row r="28" spans="1:7" ht="15.75" thickBot="1">
      <c r="A28" s="113">
        <v>1</v>
      </c>
      <c r="B28" s="114"/>
      <c r="C28" s="117"/>
      <c r="D28" s="115"/>
      <c r="E28" s="114"/>
      <c r="F28" s="114"/>
      <c r="G28" s="116"/>
    </row>
    <row r="29" spans="1:7" ht="30.75" thickBot="1">
      <c r="A29" s="122"/>
      <c r="B29" s="123" t="s">
        <v>278</v>
      </c>
      <c r="C29" s="124"/>
      <c r="D29" s="125"/>
      <c r="E29" s="125"/>
      <c r="F29" s="123">
        <f>SUM(F28:F28)</f>
        <v>0</v>
      </c>
      <c r="G29" s="126"/>
    </row>
    <row r="30" spans="1:7" ht="15">
      <c r="A30" s="111"/>
      <c r="B30" s="136" t="s">
        <v>279</v>
      </c>
      <c r="C30" s="136"/>
      <c r="D30" s="137"/>
      <c r="E30" s="137"/>
      <c r="F30" s="137"/>
      <c r="G30" s="112"/>
    </row>
    <row r="31" spans="1:7" ht="15">
      <c r="A31" s="113">
        <v>1</v>
      </c>
      <c r="B31" s="114" t="s">
        <v>280</v>
      </c>
      <c r="C31" s="117" t="s">
        <v>4</v>
      </c>
      <c r="D31" s="115">
        <v>1</v>
      </c>
      <c r="E31" s="114">
        <v>2000</v>
      </c>
      <c r="F31" s="114">
        <f>D31*E31</f>
        <v>2000</v>
      </c>
      <c r="G31" s="116"/>
    </row>
    <row r="32" spans="1:7" ht="15">
      <c r="A32" s="113">
        <v>2</v>
      </c>
      <c r="B32" s="114" t="s">
        <v>281</v>
      </c>
      <c r="C32" s="117" t="s">
        <v>4</v>
      </c>
      <c r="D32" s="115">
        <v>1</v>
      </c>
      <c r="E32" s="114">
        <v>4000</v>
      </c>
      <c r="F32" s="114">
        <f>D32*E32</f>
        <v>4000</v>
      </c>
      <c r="G32" s="116"/>
    </row>
    <row r="33" spans="1:7" ht="15">
      <c r="A33" s="113">
        <v>3</v>
      </c>
      <c r="B33" s="114" t="s">
        <v>282</v>
      </c>
      <c r="C33" s="117" t="s">
        <v>4</v>
      </c>
      <c r="D33" s="115">
        <v>1</v>
      </c>
      <c r="E33" s="114">
        <v>1100</v>
      </c>
      <c r="F33" s="114">
        <f>D33*E33</f>
        <v>1100</v>
      </c>
      <c r="G33" s="116"/>
    </row>
    <row r="34" spans="1:7" ht="15">
      <c r="A34" s="113"/>
      <c r="B34" s="114"/>
      <c r="C34" s="117"/>
      <c r="D34" s="115"/>
      <c r="E34" s="114"/>
      <c r="F34" s="114"/>
      <c r="G34" s="116"/>
    </row>
    <row r="35" spans="1:7" ht="15.75" thickBot="1">
      <c r="A35" s="118"/>
      <c r="B35" s="119"/>
      <c r="C35" s="120"/>
      <c r="D35" s="121"/>
      <c r="E35" s="119"/>
      <c r="F35" s="119"/>
      <c r="G35" s="116"/>
    </row>
    <row r="36" spans="1:7" ht="15.75" thickBot="1">
      <c r="A36" s="122"/>
      <c r="B36" s="123" t="s">
        <v>283</v>
      </c>
      <c r="C36" s="124"/>
      <c r="D36" s="125"/>
      <c r="E36" s="125"/>
      <c r="F36" s="123">
        <f>SUM(F31:F35)</f>
        <v>7100</v>
      </c>
      <c r="G36" s="126"/>
    </row>
    <row r="37" spans="1:7" ht="30" customHeight="1">
      <c r="A37" s="113"/>
      <c r="B37" s="132" t="s">
        <v>284</v>
      </c>
      <c r="C37" s="132"/>
      <c r="D37" s="133"/>
      <c r="E37" s="133"/>
      <c r="F37" s="133"/>
      <c r="G37" s="127"/>
    </row>
    <row r="38" spans="1:7" ht="22.5">
      <c r="A38" s="113">
        <v>1</v>
      </c>
      <c r="B38" s="114" t="s">
        <v>285</v>
      </c>
      <c r="C38" s="117" t="s">
        <v>4</v>
      </c>
      <c r="D38" s="115">
        <v>0</v>
      </c>
      <c r="E38" s="114">
        <v>250</v>
      </c>
      <c r="F38" s="114">
        <f aca="true" t="shared" si="0" ref="F38:F46">D38*E38</f>
        <v>0</v>
      </c>
      <c r="G38" s="116" t="s">
        <v>286</v>
      </c>
    </row>
    <row r="39" spans="1:7" ht="22.5">
      <c r="A39" s="113">
        <v>2</v>
      </c>
      <c r="B39" s="114" t="s">
        <v>287</v>
      </c>
      <c r="C39" s="117" t="s">
        <v>4</v>
      </c>
      <c r="D39" s="115">
        <v>0</v>
      </c>
      <c r="E39" s="114">
        <v>250</v>
      </c>
      <c r="F39" s="114">
        <f t="shared" si="0"/>
        <v>0</v>
      </c>
      <c r="G39" s="116" t="s">
        <v>286</v>
      </c>
    </row>
    <row r="40" spans="1:7" ht="22.5">
      <c r="A40" s="113">
        <v>3</v>
      </c>
      <c r="B40" s="114" t="s">
        <v>288</v>
      </c>
      <c r="C40" s="117" t="s">
        <v>4</v>
      </c>
      <c r="D40" s="115">
        <v>0</v>
      </c>
      <c r="E40" s="114">
        <v>300</v>
      </c>
      <c r="F40" s="114">
        <f t="shared" si="0"/>
        <v>0</v>
      </c>
      <c r="G40" s="116" t="s">
        <v>286</v>
      </c>
    </row>
    <row r="41" spans="1:7" ht="30">
      <c r="A41" s="113">
        <v>4</v>
      </c>
      <c r="B41" s="114" t="s">
        <v>289</v>
      </c>
      <c r="C41" s="117" t="s">
        <v>4</v>
      </c>
      <c r="D41" s="115">
        <v>0</v>
      </c>
      <c r="E41" s="114">
        <v>2700</v>
      </c>
      <c r="F41" s="114">
        <f t="shared" si="0"/>
        <v>0</v>
      </c>
      <c r="G41" s="116" t="s">
        <v>290</v>
      </c>
    </row>
    <row r="42" spans="1:7" ht="15">
      <c r="A42" s="113">
        <v>5</v>
      </c>
      <c r="B42" s="114" t="s">
        <v>291</v>
      </c>
      <c r="C42" s="117" t="s">
        <v>4</v>
      </c>
      <c r="D42" s="115">
        <v>0</v>
      </c>
      <c r="E42" s="114">
        <v>800</v>
      </c>
      <c r="F42" s="114">
        <f t="shared" si="0"/>
        <v>0</v>
      </c>
      <c r="G42" s="116"/>
    </row>
    <row r="43" spans="1:7" ht="15">
      <c r="A43" s="113">
        <v>6</v>
      </c>
      <c r="B43" s="114" t="s">
        <v>292</v>
      </c>
      <c r="C43" s="117" t="s">
        <v>4</v>
      </c>
      <c r="D43" s="115">
        <v>0</v>
      </c>
      <c r="E43" s="114">
        <v>800</v>
      </c>
      <c r="F43" s="114">
        <f t="shared" si="0"/>
        <v>0</v>
      </c>
      <c r="G43" s="116"/>
    </row>
    <row r="44" spans="1:7" ht="15">
      <c r="A44" s="113">
        <v>7</v>
      </c>
      <c r="B44" s="128" t="s">
        <v>293</v>
      </c>
      <c r="C44" s="117" t="s">
        <v>136</v>
      </c>
      <c r="D44" s="115">
        <v>0</v>
      </c>
      <c r="E44" s="114">
        <v>40</v>
      </c>
      <c r="F44" s="114">
        <f t="shared" si="0"/>
        <v>0</v>
      </c>
      <c r="G44" s="116" t="s">
        <v>294</v>
      </c>
    </row>
    <row r="45" spans="1:7" ht="22.5">
      <c r="A45" s="113">
        <v>8</v>
      </c>
      <c r="B45" s="114" t="s">
        <v>295</v>
      </c>
      <c r="C45" s="117" t="s">
        <v>4</v>
      </c>
      <c r="D45" s="115">
        <v>0</v>
      </c>
      <c r="E45" s="114">
        <v>300</v>
      </c>
      <c r="F45" s="114">
        <f t="shared" si="0"/>
        <v>0</v>
      </c>
      <c r="G45" s="116" t="s">
        <v>286</v>
      </c>
    </row>
    <row r="46" spans="1:7" ht="15">
      <c r="A46" s="113">
        <v>9</v>
      </c>
      <c r="B46" s="114" t="s">
        <v>296</v>
      </c>
      <c r="C46" s="114"/>
      <c r="D46" s="115"/>
      <c r="E46" s="114"/>
      <c r="F46" s="114">
        <f t="shared" si="0"/>
        <v>0</v>
      </c>
      <c r="G46" s="116"/>
    </row>
    <row r="47" spans="1:7" ht="45.75" thickBot="1">
      <c r="A47" s="113">
        <v>10</v>
      </c>
      <c r="B47" s="119" t="s">
        <v>297</v>
      </c>
      <c r="C47" s="119"/>
      <c r="D47" s="121"/>
      <c r="E47" s="119"/>
      <c r="F47" s="119">
        <f>SUM(F38:F46)*0.04</f>
        <v>0</v>
      </c>
      <c r="G47" s="116"/>
    </row>
    <row r="48" spans="1:7" ht="15.75" thickBot="1">
      <c r="A48" s="122"/>
      <c r="B48" s="123" t="s">
        <v>298</v>
      </c>
      <c r="C48" s="123"/>
      <c r="D48" s="125"/>
      <c r="E48" s="125"/>
      <c r="F48" s="123">
        <f>SUM(F38:F47)</f>
        <v>0</v>
      </c>
      <c r="G48" s="126"/>
    </row>
    <row r="49" spans="1:7" ht="30" customHeight="1">
      <c r="A49" s="113"/>
      <c r="B49" s="132" t="s">
        <v>299</v>
      </c>
      <c r="C49" s="132"/>
      <c r="D49" s="133"/>
      <c r="E49" s="133"/>
      <c r="F49" s="133"/>
      <c r="G49" s="127"/>
    </row>
    <row r="50" spans="1:7" ht="15.75" thickBot="1">
      <c r="A50" s="113">
        <v>1</v>
      </c>
      <c r="B50" s="114"/>
      <c r="C50" s="117"/>
      <c r="D50" s="115"/>
      <c r="E50" s="114"/>
      <c r="F50" s="114"/>
      <c r="G50" s="116"/>
    </row>
    <row r="51" spans="1:7" ht="30.75" thickBot="1">
      <c r="A51" s="122"/>
      <c r="B51" s="123" t="s">
        <v>300</v>
      </c>
      <c r="C51" s="123"/>
      <c r="D51" s="125"/>
      <c r="E51" s="125"/>
      <c r="F51" s="123">
        <f>SUM(F50:F50)</f>
        <v>0</v>
      </c>
      <c r="G51" s="126"/>
    </row>
    <row r="52" spans="1:7" ht="15.75" thickBot="1">
      <c r="A52" s="129"/>
      <c r="B52" s="130" t="s">
        <v>301</v>
      </c>
      <c r="C52" s="13"/>
      <c r="D52" s="13"/>
      <c r="E52" s="13"/>
      <c r="F52" s="130">
        <f>F10+F16+F19+F26+F29+F36+F48+F51</f>
        <v>18400</v>
      </c>
      <c r="G52" s="131"/>
    </row>
    <row r="54" ht="15">
      <c r="C54" t="s">
        <v>92</v>
      </c>
    </row>
    <row r="55" ht="15">
      <c r="B55" t="s">
        <v>302</v>
      </c>
    </row>
    <row r="56" ht="15">
      <c r="B56" t="s">
        <v>11</v>
      </c>
    </row>
    <row r="57" ht="21.75">
      <c r="B57" s="29" t="s">
        <v>303</v>
      </c>
    </row>
  </sheetData>
  <sheetProtection password="D290" sheet="1" objects="1" scenarios="1" selectLockedCells="1" selectUnlockedCells="1"/>
  <mergeCells count="10">
    <mergeCell ref="B1:G1"/>
    <mergeCell ref="A2:G2"/>
    <mergeCell ref="B37:F37"/>
    <mergeCell ref="B49:F49"/>
    <mergeCell ref="B4:F4"/>
    <mergeCell ref="B11:F11"/>
    <mergeCell ref="B17:F17"/>
    <mergeCell ref="B20:F20"/>
    <mergeCell ref="B27:F27"/>
    <mergeCell ref="B30:F30"/>
  </mergeCells>
  <hyperlinks>
    <hyperlink ref="B57" r:id="rId1" display="Kompaskiv@rambler.ru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2"/>
  <sheetViews>
    <sheetView tabSelected="1" zoomScalePageLayoutView="0" workbookViewId="0" topLeftCell="A211">
      <selection activeCell="A1" sqref="A1:IV16384"/>
    </sheetView>
  </sheetViews>
  <sheetFormatPr defaultColWidth="9.00390625" defaultRowHeight="15"/>
  <cols>
    <col min="1" max="1" width="38.8515625" style="0" customWidth="1"/>
    <col min="2" max="2" width="8.140625" style="0" customWidth="1"/>
    <col min="3" max="3" width="8.00390625" style="0" customWidth="1"/>
    <col min="4" max="5" width="8.421875" style="0" customWidth="1"/>
    <col min="6" max="6" width="20.00390625" style="0" customWidth="1"/>
    <col min="7" max="7" width="29.00390625" style="0" customWidth="1"/>
  </cols>
  <sheetData>
    <row r="1" spans="1:5" ht="68.25" customHeight="1">
      <c r="A1" s="138" t="s">
        <v>40</v>
      </c>
      <c r="B1" s="138"/>
      <c r="C1" s="138"/>
      <c r="D1" s="138"/>
      <c r="E1" s="138"/>
    </row>
    <row r="2" spans="1:5" ht="33.75" customHeight="1" thickBot="1">
      <c r="A2" s="145" t="s">
        <v>80</v>
      </c>
      <c r="B2" s="145"/>
      <c r="C2" s="145"/>
      <c r="D2" s="145"/>
      <c r="E2" s="145"/>
    </row>
    <row r="3" spans="1:7" ht="107.25" customHeight="1" thickBot="1">
      <c r="A3" s="5"/>
      <c r="B3" s="6" t="s">
        <v>6</v>
      </c>
      <c r="C3" s="2" t="s">
        <v>2</v>
      </c>
      <c r="D3" s="3" t="s">
        <v>7</v>
      </c>
      <c r="E3" s="20" t="s">
        <v>3</v>
      </c>
      <c r="F3" s="72" t="s">
        <v>190</v>
      </c>
      <c r="G3" s="32" t="s">
        <v>41</v>
      </c>
    </row>
    <row r="4" spans="1:7" ht="22.5" customHeight="1">
      <c r="A4" s="27" t="s">
        <v>34</v>
      </c>
      <c r="B4" s="4"/>
      <c r="C4" s="15"/>
      <c r="D4" s="11"/>
      <c r="E4" s="22"/>
      <c r="F4" s="92"/>
      <c r="G4" s="81"/>
    </row>
    <row r="5" spans="1:7" ht="32.25" customHeight="1">
      <c r="A5" s="43" t="s">
        <v>15</v>
      </c>
      <c r="B5" s="7" t="s">
        <v>0</v>
      </c>
      <c r="C5" s="8">
        <v>6.5</v>
      </c>
      <c r="D5" s="9"/>
      <c r="E5" s="21"/>
      <c r="F5" s="93"/>
      <c r="G5" s="81"/>
    </row>
    <row r="6" spans="1:7" ht="21" customHeight="1">
      <c r="A6" s="43" t="s">
        <v>16</v>
      </c>
      <c r="B6" s="7" t="s">
        <v>0</v>
      </c>
      <c r="C6" s="8">
        <v>6</v>
      </c>
      <c r="D6" s="9"/>
      <c r="E6" s="21"/>
      <c r="F6" s="93"/>
      <c r="G6" s="81"/>
    </row>
    <row r="7" spans="1:7" ht="48.75" customHeight="1">
      <c r="A7" s="16" t="s">
        <v>65</v>
      </c>
      <c r="B7" s="17" t="s">
        <v>9</v>
      </c>
      <c r="C7" s="24">
        <f>(C5+C6)*2+C5+C6+2.2</f>
        <v>39.7</v>
      </c>
      <c r="D7" s="19">
        <v>200</v>
      </c>
      <c r="E7" s="25">
        <f>C7*D7</f>
        <v>7940.000000000001</v>
      </c>
      <c r="F7" s="92"/>
      <c r="G7" s="81"/>
    </row>
    <row r="8" spans="1:7" ht="36.75" customHeight="1">
      <c r="A8" s="65" t="s">
        <v>194</v>
      </c>
      <c r="B8" s="66" t="s">
        <v>1</v>
      </c>
      <c r="C8" s="67">
        <f>C7*0.2*2</f>
        <v>15.880000000000003</v>
      </c>
      <c r="D8" s="68">
        <v>15</v>
      </c>
      <c r="E8" s="69"/>
      <c r="F8" s="70">
        <f>C8*D8</f>
        <v>238.20000000000005</v>
      </c>
      <c r="G8" s="40" t="s">
        <v>193</v>
      </c>
    </row>
    <row r="9" spans="1:7" ht="41.25" customHeight="1">
      <c r="A9" s="65" t="s">
        <v>189</v>
      </c>
      <c r="B9" s="66" t="s">
        <v>4</v>
      </c>
      <c r="C9" s="67">
        <f>7+2</f>
        <v>9</v>
      </c>
      <c r="D9" s="68">
        <v>1200</v>
      </c>
      <c r="E9" s="69"/>
      <c r="F9" s="70">
        <f>C9*D9</f>
        <v>10800</v>
      </c>
      <c r="G9" s="40" t="s">
        <v>192</v>
      </c>
    </row>
    <row r="10" spans="1:7" ht="31.5" customHeight="1">
      <c r="A10" s="65" t="s">
        <v>196</v>
      </c>
      <c r="B10" s="66" t="s">
        <v>129</v>
      </c>
      <c r="C10" s="67">
        <v>3</v>
      </c>
      <c r="D10" s="68">
        <v>150</v>
      </c>
      <c r="E10" s="69"/>
      <c r="F10" s="70">
        <f>C10*D10</f>
        <v>450</v>
      </c>
      <c r="G10" s="40" t="s">
        <v>195</v>
      </c>
    </row>
    <row r="11" spans="1:7" ht="31.5" customHeight="1">
      <c r="A11" s="65" t="s">
        <v>147</v>
      </c>
      <c r="B11" s="66" t="s">
        <v>4</v>
      </c>
      <c r="C11" s="67">
        <v>4</v>
      </c>
      <c r="D11" s="68">
        <v>200</v>
      </c>
      <c r="E11" s="69"/>
      <c r="F11" s="70">
        <f>C11*D11</f>
        <v>800</v>
      </c>
      <c r="G11" s="40"/>
    </row>
    <row r="12" spans="1:7" ht="21" customHeight="1">
      <c r="A12" s="43" t="s">
        <v>8</v>
      </c>
      <c r="B12" s="7" t="s">
        <v>0</v>
      </c>
      <c r="C12" s="10">
        <f>2+0.2</f>
        <v>2.2</v>
      </c>
      <c r="D12" s="9"/>
      <c r="E12" s="21"/>
      <c r="F12" s="94"/>
      <c r="G12" s="81"/>
    </row>
    <row r="13" spans="1:7" ht="21" customHeight="1">
      <c r="A13" s="43" t="s">
        <v>76</v>
      </c>
      <c r="B13" s="7" t="s">
        <v>0</v>
      </c>
      <c r="C13" s="10">
        <v>0.25</v>
      </c>
      <c r="D13" s="9"/>
      <c r="E13" s="21"/>
      <c r="F13" s="93"/>
      <c r="G13" s="81"/>
    </row>
    <row r="14" spans="1:7" ht="48.75" customHeight="1">
      <c r="A14" s="16" t="s">
        <v>105</v>
      </c>
      <c r="B14" s="17" t="s">
        <v>9</v>
      </c>
      <c r="C14" s="24">
        <v>660</v>
      </c>
      <c r="D14" s="19">
        <v>40</v>
      </c>
      <c r="E14" s="25">
        <f>C14*D14</f>
        <v>26400</v>
      </c>
      <c r="F14" s="92"/>
      <c r="G14" s="40" t="s">
        <v>191</v>
      </c>
    </row>
    <row r="15" spans="1:7" ht="55.5" customHeight="1">
      <c r="A15" s="65" t="s">
        <v>202</v>
      </c>
      <c r="B15" s="66" t="s">
        <v>129</v>
      </c>
      <c r="C15" s="67">
        <f>C14*0.015</f>
        <v>9.9</v>
      </c>
      <c r="D15" s="68">
        <f>D10</f>
        <v>150</v>
      </c>
      <c r="E15" s="69"/>
      <c r="F15" s="70">
        <f>C15*D15</f>
        <v>1485</v>
      </c>
      <c r="G15" s="40" t="s">
        <v>195</v>
      </c>
    </row>
    <row r="16" spans="1:7" ht="32.25" customHeight="1">
      <c r="A16" s="43" t="s">
        <v>17</v>
      </c>
      <c r="B16" s="7" t="s">
        <v>0</v>
      </c>
      <c r="C16" s="10">
        <v>2.1</v>
      </c>
      <c r="D16" s="9"/>
      <c r="E16" s="21"/>
      <c r="F16" s="93"/>
      <c r="G16" s="81"/>
    </row>
    <row r="17" spans="1:7" ht="34.5" customHeight="1">
      <c r="A17" s="43" t="s">
        <v>42</v>
      </c>
      <c r="B17" s="7" t="s">
        <v>0</v>
      </c>
      <c r="C17" s="10">
        <v>0.2</v>
      </c>
      <c r="D17" s="9"/>
      <c r="E17" s="21"/>
      <c r="F17" s="95"/>
      <c r="G17" s="40" t="s">
        <v>197</v>
      </c>
    </row>
    <row r="18" spans="1:7" ht="32.25" customHeight="1">
      <c r="A18" s="43" t="s">
        <v>44</v>
      </c>
      <c r="B18" s="7" t="s">
        <v>0</v>
      </c>
      <c r="C18" s="10">
        <v>0.2</v>
      </c>
      <c r="D18" s="9"/>
      <c r="E18" s="21"/>
      <c r="F18" s="96"/>
      <c r="G18" s="81"/>
    </row>
    <row r="19" spans="1:7" ht="32.25" customHeight="1">
      <c r="A19" s="43" t="s">
        <v>43</v>
      </c>
      <c r="B19" s="7" t="s">
        <v>0</v>
      </c>
      <c r="C19" s="10">
        <v>0.2</v>
      </c>
      <c r="D19" s="9"/>
      <c r="E19" s="21"/>
      <c r="F19" s="95"/>
      <c r="G19" s="40" t="s">
        <v>67</v>
      </c>
    </row>
    <row r="20" spans="1:7" ht="32.25" customHeight="1">
      <c r="A20" s="43" t="s">
        <v>51</v>
      </c>
      <c r="B20" s="7" t="s">
        <v>0</v>
      </c>
      <c r="C20" s="10">
        <f>C17+C19-C23-C24</f>
        <v>0.30000000000000004</v>
      </c>
      <c r="D20" s="9"/>
      <c r="E20" s="21"/>
      <c r="F20" s="93"/>
      <c r="G20" s="81"/>
    </row>
    <row r="21" spans="1:7" ht="60" customHeight="1">
      <c r="A21" s="43" t="s">
        <v>70</v>
      </c>
      <c r="B21" s="7" t="s">
        <v>0</v>
      </c>
      <c r="C21" s="15">
        <f>(C5+C6)*2-C22*0.4</f>
        <v>20.2</v>
      </c>
      <c r="D21" s="9"/>
      <c r="E21" s="21"/>
      <c r="F21" s="93"/>
      <c r="G21" s="81"/>
    </row>
    <row r="22" spans="1:7" ht="32.25" customHeight="1">
      <c r="A22" s="43" t="s">
        <v>68</v>
      </c>
      <c r="B22" s="7" t="s">
        <v>4</v>
      </c>
      <c r="C22" s="15">
        <v>12</v>
      </c>
      <c r="D22" s="9"/>
      <c r="E22" s="21"/>
      <c r="F22" s="95"/>
      <c r="G22" s="40" t="s">
        <v>69</v>
      </c>
    </row>
    <row r="23" spans="1:7" ht="32.25" customHeight="1">
      <c r="A23" s="43" t="s">
        <v>49</v>
      </c>
      <c r="B23" s="7" t="s">
        <v>0</v>
      </c>
      <c r="C23" s="10">
        <v>0.05</v>
      </c>
      <c r="D23" s="9"/>
      <c r="E23" s="21"/>
      <c r="F23" s="93"/>
      <c r="G23" s="34"/>
    </row>
    <row r="24" spans="1:7" ht="32.25" customHeight="1">
      <c r="A24" s="43" t="s">
        <v>50</v>
      </c>
      <c r="B24" s="7" t="s">
        <v>0</v>
      </c>
      <c r="C24" s="10">
        <v>0.05</v>
      </c>
      <c r="D24" s="9"/>
      <c r="E24" s="21"/>
      <c r="F24" s="93"/>
      <c r="G24" s="34"/>
    </row>
    <row r="25" spans="1:7" ht="34.5" customHeight="1">
      <c r="A25" s="16" t="s">
        <v>45</v>
      </c>
      <c r="B25" s="4" t="s">
        <v>5</v>
      </c>
      <c r="C25" s="28">
        <f>C21*C17*C18</f>
        <v>0.808</v>
      </c>
      <c r="D25" s="11">
        <v>600</v>
      </c>
      <c r="E25" s="22">
        <f>C25*D25</f>
        <v>484.8</v>
      </c>
      <c r="F25" s="92"/>
      <c r="G25" s="33"/>
    </row>
    <row r="26" spans="1:7" ht="34.5" customHeight="1">
      <c r="A26" s="16" t="s">
        <v>47</v>
      </c>
      <c r="B26" s="4" t="s">
        <v>5</v>
      </c>
      <c r="C26" s="28">
        <f>C21*C23*C18</f>
        <v>0.202</v>
      </c>
      <c r="D26" s="11">
        <v>300</v>
      </c>
      <c r="E26" s="22">
        <f>C26*D26</f>
        <v>60.6</v>
      </c>
      <c r="F26" s="92"/>
      <c r="G26" s="33"/>
    </row>
    <row r="27" spans="1:7" ht="34.5" customHeight="1">
      <c r="A27" s="16" t="s">
        <v>48</v>
      </c>
      <c r="B27" s="4" t="s">
        <v>5</v>
      </c>
      <c r="C27" s="28">
        <f>C21*C24*C18</f>
        <v>0.202</v>
      </c>
      <c r="D27" s="11">
        <v>300</v>
      </c>
      <c r="E27" s="22">
        <f>C27*D27</f>
        <v>60.6</v>
      </c>
      <c r="F27" s="92"/>
      <c r="G27" s="33"/>
    </row>
    <row r="28" spans="1:7" ht="72.75" customHeight="1">
      <c r="A28" s="16" t="s">
        <v>46</v>
      </c>
      <c r="B28" s="4" t="s">
        <v>5</v>
      </c>
      <c r="C28" s="28">
        <f>C21*C18*C20</f>
        <v>1.2120000000000002</v>
      </c>
      <c r="D28" s="11">
        <v>4000</v>
      </c>
      <c r="E28" s="22">
        <f>C28*D28</f>
        <v>4848.000000000001</v>
      </c>
      <c r="F28" s="92"/>
      <c r="G28" s="33"/>
    </row>
    <row r="29" spans="1:7" ht="45">
      <c r="A29" s="65" t="s">
        <v>199</v>
      </c>
      <c r="B29" s="66" t="s">
        <v>5</v>
      </c>
      <c r="C29" s="71">
        <f>C28</f>
        <v>1.2120000000000002</v>
      </c>
      <c r="D29" s="68">
        <v>5500</v>
      </c>
      <c r="E29" s="69"/>
      <c r="F29" s="70">
        <f>C29*D29</f>
        <v>6666.000000000001</v>
      </c>
      <c r="G29" s="34"/>
    </row>
    <row r="30" spans="1:7" ht="30">
      <c r="A30" s="65" t="s">
        <v>198</v>
      </c>
      <c r="B30" s="66" t="s">
        <v>5</v>
      </c>
      <c r="C30" s="71">
        <f>C21*C19*2*0.04*1.1</f>
        <v>0.35552</v>
      </c>
      <c r="D30" s="68">
        <v>5000</v>
      </c>
      <c r="E30" s="69"/>
      <c r="F30" s="70">
        <f>C30*D30</f>
        <v>1777.6</v>
      </c>
      <c r="G30" s="34"/>
    </row>
    <row r="31" spans="1:7" ht="63" customHeight="1">
      <c r="A31" s="16" t="s">
        <v>20</v>
      </c>
      <c r="B31" s="4" t="s">
        <v>9</v>
      </c>
      <c r="C31" s="28">
        <f>(C5+C6)*2</f>
        <v>25</v>
      </c>
      <c r="D31" s="11">
        <v>100</v>
      </c>
      <c r="E31" s="22">
        <f>C31*D31</f>
        <v>2500</v>
      </c>
      <c r="F31" s="92"/>
      <c r="G31" s="33"/>
    </row>
    <row r="32" spans="1:7" ht="15">
      <c r="A32" s="65" t="s">
        <v>204</v>
      </c>
      <c r="B32" s="66" t="s">
        <v>9</v>
      </c>
      <c r="C32" s="67">
        <f>C31+2</f>
        <v>27</v>
      </c>
      <c r="D32" s="68">
        <v>100</v>
      </c>
      <c r="E32" s="69"/>
      <c r="F32" s="70">
        <f>C32*D32</f>
        <v>2700</v>
      </c>
      <c r="G32" s="34"/>
    </row>
    <row r="33" spans="1:7" ht="100.5" customHeight="1">
      <c r="A33" s="16" t="s">
        <v>77</v>
      </c>
      <c r="B33" s="4" t="s">
        <v>4</v>
      </c>
      <c r="C33" s="26">
        <f>C5/0.8+1</f>
        <v>9.125</v>
      </c>
      <c r="D33" s="11">
        <v>400</v>
      </c>
      <c r="E33" s="22">
        <f>C33*D33</f>
        <v>3650</v>
      </c>
      <c r="F33" s="92"/>
      <c r="G33" s="33"/>
    </row>
    <row r="34" spans="1:7" ht="24.75" customHeight="1">
      <c r="A34" s="65" t="s">
        <v>149</v>
      </c>
      <c r="B34" s="66" t="s">
        <v>4</v>
      </c>
      <c r="C34" s="67">
        <v>5</v>
      </c>
      <c r="D34" s="68">
        <v>450</v>
      </c>
      <c r="E34" s="69"/>
      <c r="F34" s="70">
        <f>C34*D34</f>
        <v>2250</v>
      </c>
      <c r="G34" s="40"/>
    </row>
    <row r="35" spans="1:7" ht="29.25" customHeight="1">
      <c r="A35" s="65" t="s">
        <v>205</v>
      </c>
      <c r="B35" s="66" t="s">
        <v>4</v>
      </c>
      <c r="C35" s="67">
        <v>4</v>
      </c>
      <c r="D35" s="68">
        <v>170</v>
      </c>
      <c r="E35" s="69"/>
      <c r="F35" s="70">
        <f>C35*D35</f>
        <v>680</v>
      </c>
      <c r="G35" s="34"/>
    </row>
    <row r="36" spans="1:7" ht="29.25" customHeight="1">
      <c r="A36" s="65" t="s">
        <v>153</v>
      </c>
      <c r="B36" s="66" t="s">
        <v>4</v>
      </c>
      <c r="C36" s="67">
        <f>C35*8</f>
        <v>32</v>
      </c>
      <c r="D36" s="68">
        <v>4</v>
      </c>
      <c r="E36" s="69"/>
      <c r="F36" s="70">
        <f>C36*D36</f>
        <v>128</v>
      </c>
      <c r="G36" s="34"/>
    </row>
    <row r="37" spans="1:7" ht="29.25" customHeight="1">
      <c r="A37" s="65" t="s">
        <v>154</v>
      </c>
      <c r="B37" s="66" t="s">
        <v>4</v>
      </c>
      <c r="C37" s="67">
        <f>C33*4</f>
        <v>36.5</v>
      </c>
      <c r="D37" s="68">
        <v>1.5</v>
      </c>
      <c r="E37" s="69"/>
      <c r="F37" s="70">
        <f>C37*D37</f>
        <v>54.75</v>
      </c>
      <c r="G37" s="34"/>
    </row>
    <row r="38" spans="1:7" ht="29.25" customHeight="1">
      <c r="A38" s="65" t="s">
        <v>155</v>
      </c>
      <c r="B38" s="66" t="s">
        <v>4</v>
      </c>
      <c r="C38" s="67">
        <f>C37*2</f>
        <v>73</v>
      </c>
      <c r="D38" s="68">
        <v>1</v>
      </c>
      <c r="E38" s="69"/>
      <c r="F38" s="70">
        <f>C38*D38</f>
        <v>73</v>
      </c>
      <c r="G38" s="34"/>
    </row>
    <row r="39" spans="1:7" ht="44.25" customHeight="1">
      <c r="A39" s="16" t="s">
        <v>71</v>
      </c>
      <c r="B39" s="4" t="s">
        <v>4</v>
      </c>
      <c r="C39" s="26">
        <v>5</v>
      </c>
      <c r="D39" s="11">
        <v>300</v>
      </c>
      <c r="E39" s="22">
        <f>C39*D39</f>
        <v>1500</v>
      </c>
      <c r="F39" s="92"/>
      <c r="G39" s="33"/>
    </row>
    <row r="40" spans="1:7" ht="30">
      <c r="A40" s="65" t="s">
        <v>157</v>
      </c>
      <c r="B40" s="66" t="s">
        <v>5</v>
      </c>
      <c r="C40" s="76">
        <f>C39*0.192/3</f>
        <v>0.32</v>
      </c>
      <c r="D40" s="68">
        <v>3600</v>
      </c>
      <c r="E40" s="69"/>
      <c r="F40" s="70">
        <f>C40*D40</f>
        <v>1152</v>
      </c>
      <c r="G40" s="34"/>
    </row>
    <row r="41" spans="1:7" ht="15">
      <c r="A41" s="65" t="s">
        <v>206</v>
      </c>
      <c r="B41" s="66" t="s">
        <v>4</v>
      </c>
      <c r="C41" s="67">
        <f>C39</f>
        <v>5</v>
      </c>
      <c r="D41" s="68">
        <v>60</v>
      </c>
      <c r="E41" s="69"/>
      <c r="F41" s="70">
        <f>C41*D41</f>
        <v>300</v>
      </c>
      <c r="G41" s="34"/>
    </row>
    <row r="42" spans="1:7" ht="110.25" customHeight="1">
      <c r="A42" s="42" t="s">
        <v>72</v>
      </c>
      <c r="B42" s="4" t="s">
        <v>1</v>
      </c>
      <c r="C42" s="38">
        <f>(C5-C13)*(C6-C13)-(C70-C13)*(C71-C13)-(C101-C13)*(C102-C13)</f>
        <v>23.112499999999997</v>
      </c>
      <c r="D42" s="11">
        <v>120</v>
      </c>
      <c r="E42" s="22">
        <f>C42*D42</f>
        <v>2773.4999999999995</v>
      </c>
      <c r="F42" s="97"/>
      <c r="G42" s="39" t="s">
        <v>53</v>
      </c>
    </row>
    <row r="43" spans="1:7" ht="15">
      <c r="A43" s="65" t="s">
        <v>118</v>
      </c>
      <c r="B43" s="66" t="s">
        <v>5</v>
      </c>
      <c r="C43" s="73">
        <f>C42*0.025*1.1</f>
        <v>0.63559375</v>
      </c>
      <c r="D43" s="77">
        <v>5000</v>
      </c>
      <c r="E43" s="69"/>
      <c r="F43" s="70">
        <f>C43*D43</f>
        <v>3177.96875</v>
      </c>
      <c r="G43" s="34"/>
    </row>
    <row r="44" spans="1:7" ht="15">
      <c r="A44" s="78" t="s">
        <v>119</v>
      </c>
      <c r="B44" s="79" t="s">
        <v>117</v>
      </c>
      <c r="C44" s="71">
        <f>C42*0.1</f>
        <v>2.31125</v>
      </c>
      <c r="D44" s="77">
        <v>80</v>
      </c>
      <c r="E44" s="80"/>
      <c r="F44" s="70">
        <f>C44*D44</f>
        <v>184.89999999999998</v>
      </c>
      <c r="G44" s="34"/>
    </row>
    <row r="45" spans="1:7" ht="49.5" customHeight="1">
      <c r="A45" s="42" t="s">
        <v>21</v>
      </c>
      <c r="B45" s="4" t="s">
        <v>1</v>
      </c>
      <c r="C45" s="38">
        <f>C42</f>
        <v>23.112499999999997</v>
      </c>
      <c r="D45" s="11">
        <v>40</v>
      </c>
      <c r="E45" s="22">
        <f>C45*D45</f>
        <v>924.4999999999999</v>
      </c>
      <c r="F45" s="93"/>
      <c r="G45" s="34"/>
    </row>
    <row r="46" spans="1:7" ht="15">
      <c r="A46" s="78" t="s">
        <v>120</v>
      </c>
      <c r="B46" s="79" t="s">
        <v>121</v>
      </c>
      <c r="C46" s="71">
        <f>C45*0.4</f>
        <v>9.245</v>
      </c>
      <c r="D46" s="68">
        <v>100</v>
      </c>
      <c r="E46" s="80"/>
      <c r="F46" s="70">
        <f>C46*D46</f>
        <v>924.4999999999999</v>
      </c>
      <c r="G46" s="34"/>
    </row>
    <row r="47" spans="1:7" ht="60" customHeight="1">
      <c r="A47" s="42" t="s">
        <v>52</v>
      </c>
      <c r="B47" s="4" t="s">
        <v>1</v>
      </c>
      <c r="C47" s="26">
        <f>C42</f>
        <v>23.112499999999997</v>
      </c>
      <c r="D47" s="11">
        <v>80</v>
      </c>
      <c r="E47" s="22">
        <f>C47*D47</f>
        <v>1848.9999999999998</v>
      </c>
      <c r="F47" s="98"/>
      <c r="G47" s="39" t="s">
        <v>53</v>
      </c>
    </row>
    <row r="48" spans="1:7" ht="15">
      <c r="A48" s="65" t="s">
        <v>122</v>
      </c>
      <c r="B48" s="66" t="s">
        <v>1</v>
      </c>
      <c r="C48" s="67">
        <f>C47</f>
        <v>23.112499999999997</v>
      </c>
      <c r="D48" s="68">
        <v>120</v>
      </c>
      <c r="E48" s="69"/>
      <c r="F48" s="70">
        <f>C48*D48</f>
        <v>2773.4999999999995</v>
      </c>
      <c r="G48" s="34"/>
    </row>
    <row r="49" spans="1:7" ht="60" customHeight="1">
      <c r="A49" s="78" t="s">
        <v>124</v>
      </c>
      <c r="B49" s="66" t="s">
        <v>1</v>
      </c>
      <c r="C49" s="67">
        <f>C47*2*1.1</f>
        <v>50.8475</v>
      </c>
      <c r="D49" s="68">
        <v>18</v>
      </c>
      <c r="E49" s="80"/>
      <c r="F49" s="70">
        <f>C49*D49</f>
        <v>915.2549999999999</v>
      </c>
      <c r="G49" s="34"/>
    </row>
    <row r="50" spans="1:7" ht="15">
      <c r="A50" s="78" t="s">
        <v>125</v>
      </c>
      <c r="B50" s="66" t="s">
        <v>126</v>
      </c>
      <c r="C50" s="71">
        <f>C49*0.013</f>
        <v>0.6610174999999999</v>
      </c>
      <c r="D50" s="68">
        <v>40</v>
      </c>
      <c r="E50" s="80"/>
      <c r="F50" s="70">
        <f>C50*D50</f>
        <v>26.440699999999996</v>
      </c>
      <c r="G50" s="34"/>
    </row>
    <row r="51" spans="1:7" ht="48" customHeight="1">
      <c r="A51" s="42" t="s">
        <v>78</v>
      </c>
      <c r="B51" s="4" t="s">
        <v>1</v>
      </c>
      <c r="C51" s="38">
        <f>(C5-C13)*(C6-C13)</f>
        <v>35.9375</v>
      </c>
      <c r="D51" s="11">
        <v>300</v>
      </c>
      <c r="E51" s="22">
        <f>C51*D51</f>
        <v>10781.25</v>
      </c>
      <c r="F51" s="92"/>
      <c r="G51" s="33"/>
    </row>
    <row r="52" spans="1:7" ht="15">
      <c r="A52" s="65" t="s">
        <v>209</v>
      </c>
      <c r="B52" s="66" t="s">
        <v>5</v>
      </c>
      <c r="C52" s="71">
        <f>(C51-C101*C102)*0.045*1.1</f>
        <v>1.2324262500000003</v>
      </c>
      <c r="D52" s="77">
        <v>10000</v>
      </c>
      <c r="E52" s="69"/>
      <c r="F52" s="70">
        <f>C52*D52</f>
        <v>12324.262500000003</v>
      </c>
      <c r="G52" s="34"/>
    </row>
    <row r="53" spans="1:7" ht="15">
      <c r="A53" s="78" t="s">
        <v>119</v>
      </c>
      <c r="B53" s="79" t="s">
        <v>117</v>
      </c>
      <c r="C53" s="71">
        <f>C51*0.1</f>
        <v>3.59375</v>
      </c>
      <c r="D53" s="77">
        <f>D44</f>
        <v>80</v>
      </c>
      <c r="E53" s="80"/>
      <c r="F53" s="70">
        <f>C53*D53</f>
        <v>287.5</v>
      </c>
      <c r="G53" s="34"/>
    </row>
    <row r="54" spans="1:7" ht="45">
      <c r="A54" s="65" t="s">
        <v>211</v>
      </c>
      <c r="B54" s="66" t="s">
        <v>5</v>
      </c>
      <c r="C54" s="71">
        <f>(C101*C102)*0.05*1.1</f>
        <v>0.6072</v>
      </c>
      <c r="D54" s="77">
        <v>8000</v>
      </c>
      <c r="E54" s="69"/>
      <c r="F54" s="70">
        <f>C54*D54</f>
        <v>4857.599999999999</v>
      </c>
      <c r="G54" s="34"/>
    </row>
    <row r="55" spans="1:7" ht="30">
      <c r="A55" s="78" t="s">
        <v>208</v>
      </c>
      <c r="B55" s="79" t="s">
        <v>117</v>
      </c>
      <c r="C55" s="71">
        <f>C53*1.3</f>
        <v>4.671875</v>
      </c>
      <c r="D55" s="77">
        <f>D46</f>
        <v>100</v>
      </c>
      <c r="E55" s="80"/>
      <c r="F55" s="70">
        <f>C55*D55</f>
        <v>467.1875</v>
      </c>
      <c r="G55" s="34"/>
    </row>
    <row r="56" spans="1:7" ht="44.25" customHeight="1">
      <c r="A56" s="16" t="s">
        <v>64</v>
      </c>
      <c r="B56" s="4" t="s">
        <v>4</v>
      </c>
      <c r="C56" s="26">
        <v>4</v>
      </c>
      <c r="D56" s="11">
        <v>300</v>
      </c>
      <c r="E56" s="22">
        <f>C56*D56</f>
        <v>1200</v>
      </c>
      <c r="F56" s="95"/>
      <c r="G56" s="40" t="s">
        <v>66</v>
      </c>
    </row>
    <row r="57" spans="1:7" ht="24.75" customHeight="1">
      <c r="A57" s="65" t="s">
        <v>149</v>
      </c>
      <c r="B57" s="66" t="s">
        <v>4</v>
      </c>
      <c r="C57" s="67">
        <f>C56</f>
        <v>4</v>
      </c>
      <c r="D57" s="68">
        <f>D34</f>
        <v>450</v>
      </c>
      <c r="E57" s="69"/>
      <c r="F57" s="70">
        <f>C57*D57</f>
        <v>1800</v>
      </c>
      <c r="G57" s="40"/>
    </row>
    <row r="58" spans="1:7" ht="29.25" customHeight="1">
      <c r="A58" s="65" t="s">
        <v>154</v>
      </c>
      <c r="B58" s="66" t="s">
        <v>4</v>
      </c>
      <c r="C58" s="67">
        <f>C56*4</f>
        <v>16</v>
      </c>
      <c r="D58" s="68">
        <f>D37</f>
        <v>1.5</v>
      </c>
      <c r="E58" s="69"/>
      <c r="F58" s="70">
        <f>C58*D58</f>
        <v>24</v>
      </c>
      <c r="G58" s="34"/>
    </row>
    <row r="59" spans="1:7" ht="29.25" customHeight="1">
      <c r="A59" s="65" t="s">
        <v>155</v>
      </c>
      <c r="B59" s="66" t="s">
        <v>4</v>
      </c>
      <c r="C59" s="67">
        <f>C58*2</f>
        <v>32</v>
      </c>
      <c r="D59" s="68">
        <f>D38</f>
        <v>1</v>
      </c>
      <c r="E59" s="69"/>
      <c r="F59" s="70">
        <f>C59*D59</f>
        <v>32</v>
      </c>
      <c r="G59" s="34"/>
    </row>
    <row r="60" spans="1:7" ht="66" customHeight="1">
      <c r="A60" s="42" t="s">
        <v>217</v>
      </c>
      <c r="B60" s="4" t="s">
        <v>1</v>
      </c>
      <c r="C60" s="38">
        <f>(C5-C13)*(C6-C13)</f>
        <v>35.9375</v>
      </c>
      <c r="D60" s="11">
        <v>400</v>
      </c>
      <c r="E60" s="22">
        <f>C60*D60</f>
        <v>14375</v>
      </c>
      <c r="F60" s="93"/>
      <c r="G60" s="34"/>
    </row>
    <row r="61" spans="1:7" ht="15">
      <c r="A61" s="65" t="s">
        <v>214</v>
      </c>
      <c r="B61" s="66" t="s">
        <v>1</v>
      </c>
      <c r="C61" s="67">
        <f>(C60-C70*C71)*1.1</f>
        <v>34.691250000000004</v>
      </c>
      <c r="D61" s="68">
        <v>250</v>
      </c>
      <c r="E61" s="69"/>
      <c r="F61" s="70">
        <f aca="true" t="shared" si="0" ref="F61:F67">C61*D61</f>
        <v>8672.812500000002</v>
      </c>
      <c r="G61" s="34"/>
    </row>
    <row r="62" spans="1:7" ht="15">
      <c r="A62" s="65" t="s">
        <v>215</v>
      </c>
      <c r="B62" s="66" t="s">
        <v>117</v>
      </c>
      <c r="C62" s="71">
        <f>C60*0.1</f>
        <v>3.59375</v>
      </c>
      <c r="D62" s="68">
        <v>120</v>
      </c>
      <c r="E62" s="69"/>
      <c r="F62" s="70">
        <f t="shared" si="0"/>
        <v>431.25</v>
      </c>
      <c r="G62" s="34"/>
    </row>
    <row r="63" spans="1:7" ht="20.25" customHeight="1">
      <c r="A63" s="78" t="s">
        <v>216</v>
      </c>
      <c r="B63" s="66" t="s">
        <v>1</v>
      </c>
      <c r="C63" s="67">
        <f>(C60-C70*C71)*1.1</f>
        <v>34.691250000000004</v>
      </c>
      <c r="D63" s="68">
        <f>D49</f>
        <v>18</v>
      </c>
      <c r="E63" s="80"/>
      <c r="F63" s="70">
        <f t="shared" si="0"/>
        <v>624.4425000000001</v>
      </c>
      <c r="G63" s="34"/>
    </row>
    <row r="64" spans="1:7" ht="15">
      <c r="A64" s="78" t="s">
        <v>125</v>
      </c>
      <c r="B64" s="66" t="s">
        <v>126</v>
      </c>
      <c r="C64" s="71">
        <f>C63*0.013</f>
        <v>0.45098625000000003</v>
      </c>
      <c r="D64" s="68">
        <f>D50</f>
        <v>40</v>
      </c>
      <c r="E64" s="80"/>
      <c r="F64" s="70">
        <f t="shared" si="0"/>
        <v>18.039450000000002</v>
      </c>
      <c r="G64" s="34"/>
    </row>
    <row r="65" spans="1:7" ht="74.25" customHeight="1">
      <c r="A65" s="65" t="s">
        <v>213</v>
      </c>
      <c r="B65" s="66" t="s">
        <v>4</v>
      </c>
      <c r="C65" s="67">
        <f>C70/0.095+2</f>
        <v>25.157894736842106</v>
      </c>
      <c r="D65" s="68">
        <f>70*3/3*2</f>
        <v>140</v>
      </c>
      <c r="E65" s="69"/>
      <c r="F65" s="70">
        <f t="shared" si="0"/>
        <v>3522.105263157895</v>
      </c>
      <c r="G65" s="34"/>
    </row>
    <row r="66" spans="1:7" ht="15">
      <c r="A66" s="65" t="s">
        <v>127</v>
      </c>
      <c r="B66" s="66" t="s">
        <v>1</v>
      </c>
      <c r="C66" s="71">
        <f>C70*C71*1.1</f>
        <v>4.840000000000001</v>
      </c>
      <c r="D66" s="68">
        <v>60</v>
      </c>
      <c r="E66" s="69"/>
      <c r="F66" s="70">
        <f t="shared" si="0"/>
        <v>290.40000000000003</v>
      </c>
      <c r="G66" s="34"/>
    </row>
    <row r="67" spans="1:7" ht="30">
      <c r="A67" s="65" t="s">
        <v>128</v>
      </c>
      <c r="B67" s="66" t="s">
        <v>129</v>
      </c>
      <c r="C67" s="67">
        <v>1</v>
      </c>
      <c r="D67" s="68">
        <v>50</v>
      </c>
      <c r="E67" s="69"/>
      <c r="F67" s="70">
        <f t="shared" si="0"/>
        <v>50</v>
      </c>
      <c r="G67" s="34"/>
    </row>
    <row r="68" spans="1:7" ht="41.25" customHeight="1">
      <c r="A68" s="42" t="s">
        <v>218</v>
      </c>
      <c r="B68" s="4" t="s">
        <v>1</v>
      </c>
      <c r="C68" s="38">
        <f>C60-(C101-C13)*(C102-C13)</f>
        <v>26.525</v>
      </c>
      <c r="D68" s="11">
        <v>80</v>
      </c>
      <c r="E68" s="22">
        <f>C68*D68</f>
        <v>2122</v>
      </c>
      <c r="F68" s="93"/>
      <c r="G68" s="34"/>
    </row>
    <row r="69" spans="1:7" ht="15">
      <c r="A69" s="65" t="s">
        <v>122</v>
      </c>
      <c r="B69" s="66" t="s">
        <v>1</v>
      </c>
      <c r="C69" s="67">
        <f>C68</f>
        <v>26.525</v>
      </c>
      <c r="D69" s="68">
        <f>D62</f>
        <v>120</v>
      </c>
      <c r="E69" s="69"/>
      <c r="F69" s="70">
        <f>C69*D69</f>
        <v>3183</v>
      </c>
      <c r="G69" s="34"/>
    </row>
    <row r="70" spans="1:7" ht="32.25" customHeight="1">
      <c r="A70" s="43" t="s">
        <v>22</v>
      </c>
      <c r="B70" s="7" t="s">
        <v>0</v>
      </c>
      <c r="C70" s="8">
        <v>2.2</v>
      </c>
      <c r="D70" s="9"/>
      <c r="E70" s="23"/>
      <c r="F70" s="93"/>
      <c r="G70" s="34"/>
    </row>
    <row r="71" spans="1:7" ht="21" customHeight="1">
      <c r="A71" s="43" t="s">
        <v>23</v>
      </c>
      <c r="B71" s="7" t="s">
        <v>0</v>
      </c>
      <c r="C71" s="8">
        <v>2</v>
      </c>
      <c r="D71" s="9"/>
      <c r="E71" s="23"/>
      <c r="F71" s="93"/>
      <c r="G71" s="34"/>
    </row>
    <row r="72" spans="1:7" ht="73.5" customHeight="1">
      <c r="A72" s="42" t="s">
        <v>54</v>
      </c>
      <c r="B72" s="4" t="s">
        <v>1</v>
      </c>
      <c r="C72" s="18">
        <f>(C70-C13+C71-C13)*2*C16-1*2-1*1.5</f>
        <v>12.040000000000001</v>
      </c>
      <c r="D72" s="11">
        <v>350</v>
      </c>
      <c r="E72" s="22">
        <f>C72*D72</f>
        <v>4214</v>
      </c>
      <c r="F72" s="93"/>
      <c r="G72" s="34"/>
    </row>
    <row r="73" spans="1:7" ht="84" customHeight="1">
      <c r="A73" s="65" t="s">
        <v>219</v>
      </c>
      <c r="B73" s="66" t="s">
        <v>4</v>
      </c>
      <c r="C73" s="67">
        <f>((C70+C71)*2)/0.095</f>
        <v>88.42105263157895</v>
      </c>
      <c r="D73" s="68">
        <f>70*2.2</f>
        <v>154</v>
      </c>
      <c r="E73" s="69"/>
      <c r="F73" s="70">
        <f>C73*D73</f>
        <v>13616.842105263158</v>
      </c>
      <c r="G73" s="34"/>
    </row>
    <row r="74" spans="1:7" ht="30">
      <c r="A74" s="65" t="s">
        <v>116</v>
      </c>
      <c r="B74" s="66" t="s">
        <v>117</v>
      </c>
      <c r="C74" s="71">
        <f>C72*0.1</f>
        <v>1.2040000000000002</v>
      </c>
      <c r="D74" s="68">
        <f>D62</f>
        <v>120</v>
      </c>
      <c r="E74" s="69"/>
      <c r="F74" s="70">
        <f>C74*D74</f>
        <v>144.48000000000002</v>
      </c>
      <c r="G74" s="34"/>
    </row>
    <row r="75" spans="1:7" ht="15">
      <c r="A75" s="65" t="s">
        <v>127</v>
      </c>
      <c r="B75" s="66" t="s">
        <v>1</v>
      </c>
      <c r="C75" s="71">
        <f>C72*1.1</f>
        <v>13.244000000000002</v>
      </c>
      <c r="D75" s="68">
        <f>D66</f>
        <v>60</v>
      </c>
      <c r="E75" s="69"/>
      <c r="F75" s="70">
        <f>C75*D75</f>
        <v>794.6400000000001</v>
      </c>
      <c r="G75" s="34"/>
    </row>
    <row r="76" spans="1:7" ht="30">
      <c r="A76" s="65" t="s">
        <v>128</v>
      </c>
      <c r="B76" s="66" t="s">
        <v>129</v>
      </c>
      <c r="C76" s="67">
        <v>2</v>
      </c>
      <c r="D76" s="68">
        <f>D67</f>
        <v>50</v>
      </c>
      <c r="E76" s="69"/>
      <c r="F76" s="70">
        <f>C76*D76</f>
        <v>100</v>
      </c>
      <c r="G76" s="34"/>
    </row>
    <row r="77" spans="1:7" ht="15">
      <c r="A77" s="78" t="s">
        <v>125</v>
      </c>
      <c r="B77" s="66" t="s">
        <v>126</v>
      </c>
      <c r="C77" s="71">
        <f>C75*0.013</f>
        <v>0.17217200000000002</v>
      </c>
      <c r="D77" s="68">
        <f>D64</f>
        <v>40</v>
      </c>
      <c r="E77" s="80"/>
      <c r="F77" s="70">
        <f>C77*D77</f>
        <v>6.886880000000001</v>
      </c>
      <c r="G77" s="34"/>
    </row>
    <row r="78" spans="1:7" ht="46.5" customHeight="1">
      <c r="A78" s="42" t="s">
        <v>55</v>
      </c>
      <c r="B78" s="4" t="s">
        <v>9</v>
      </c>
      <c r="C78" s="18">
        <f>(C70-C13+C71-C13)*2+C16*4+(C70-C13+C71-C13)*2</f>
        <v>23.200000000000003</v>
      </c>
      <c r="D78" s="11">
        <v>50</v>
      </c>
      <c r="E78" s="22">
        <f>C78*D78</f>
        <v>1160.0000000000002</v>
      </c>
      <c r="F78" s="93"/>
      <c r="G78" s="34"/>
    </row>
    <row r="79" spans="1:7" ht="15">
      <c r="A79" s="65" t="s">
        <v>135</v>
      </c>
      <c r="B79" s="66" t="s">
        <v>136</v>
      </c>
      <c r="C79" s="67">
        <f>C78*1.1</f>
        <v>25.520000000000007</v>
      </c>
      <c r="D79" s="68">
        <v>60</v>
      </c>
      <c r="E79" s="69"/>
      <c r="F79" s="70">
        <f>C79*D79</f>
        <v>1531.2000000000005</v>
      </c>
      <c r="G79" s="34"/>
    </row>
    <row r="80" spans="1:7" ht="40.5" customHeight="1">
      <c r="A80" s="42" t="s">
        <v>221</v>
      </c>
      <c r="B80" s="4" t="s">
        <v>9</v>
      </c>
      <c r="C80" s="15">
        <v>30</v>
      </c>
      <c r="D80" s="11">
        <v>100</v>
      </c>
      <c r="E80" s="22">
        <f>C80*D80</f>
        <v>3000</v>
      </c>
      <c r="F80" s="92" t="s">
        <v>222</v>
      </c>
      <c r="G80" s="81"/>
    </row>
    <row r="81" spans="1:7" ht="54" customHeight="1">
      <c r="A81" s="78" t="s">
        <v>131</v>
      </c>
      <c r="B81" s="66" t="s">
        <v>4</v>
      </c>
      <c r="C81" s="67">
        <v>7</v>
      </c>
      <c r="D81" s="68">
        <f>130*2</f>
        <v>260</v>
      </c>
      <c r="E81" s="80"/>
      <c r="F81" s="70">
        <f>C81*D81</f>
        <v>1820</v>
      </c>
      <c r="G81" s="34"/>
    </row>
    <row r="82" spans="1:7" ht="52.5" customHeight="1">
      <c r="A82" s="78" t="s">
        <v>223</v>
      </c>
      <c r="B82" s="66" t="s">
        <v>4</v>
      </c>
      <c r="C82" s="67">
        <f>C81*2</f>
        <v>14</v>
      </c>
      <c r="D82" s="68">
        <f>130*1.5</f>
        <v>195</v>
      </c>
      <c r="E82" s="80"/>
      <c r="F82" s="70">
        <f>C82*D82</f>
        <v>2730</v>
      </c>
      <c r="G82" s="34"/>
    </row>
    <row r="83" spans="1:7" ht="45">
      <c r="A83" s="78" t="s">
        <v>224</v>
      </c>
      <c r="B83" s="66" t="s">
        <v>4</v>
      </c>
      <c r="C83" s="67">
        <f>4*3</f>
        <v>12</v>
      </c>
      <c r="D83" s="68">
        <f>70*1.5</f>
        <v>105</v>
      </c>
      <c r="E83" s="80"/>
      <c r="F83" s="70">
        <f>C83*D83</f>
        <v>1260</v>
      </c>
      <c r="G83" s="34"/>
    </row>
    <row r="84" spans="1:7" ht="15">
      <c r="A84" s="78" t="s">
        <v>134</v>
      </c>
      <c r="B84" s="66" t="s">
        <v>117</v>
      </c>
      <c r="C84" s="71">
        <v>0.5</v>
      </c>
      <c r="D84" s="68">
        <v>120</v>
      </c>
      <c r="E84" s="80"/>
      <c r="F84" s="70">
        <f>C84*D84</f>
        <v>60</v>
      </c>
      <c r="G84" s="34"/>
    </row>
    <row r="85" spans="1:7" ht="32.25" customHeight="1">
      <c r="A85" s="43" t="s">
        <v>56</v>
      </c>
      <c r="B85" s="7" t="s">
        <v>0</v>
      </c>
      <c r="C85" s="8">
        <v>2.2</v>
      </c>
      <c r="D85" s="9"/>
      <c r="E85" s="23"/>
      <c r="F85" s="93"/>
      <c r="G85" s="34"/>
    </row>
    <row r="86" spans="1:7" ht="21" customHeight="1">
      <c r="A86" s="43" t="s">
        <v>57</v>
      </c>
      <c r="B86" s="7" t="s">
        <v>0</v>
      </c>
      <c r="C86" s="8">
        <v>1.4</v>
      </c>
      <c r="D86" s="9"/>
      <c r="E86" s="23"/>
      <c r="F86" s="93"/>
      <c r="G86" s="34"/>
    </row>
    <row r="87" spans="1:7" ht="73.5" customHeight="1">
      <c r="A87" s="42" t="s">
        <v>58</v>
      </c>
      <c r="B87" s="4" t="s">
        <v>1</v>
      </c>
      <c r="C87" s="18">
        <f>(C85-C13+C86-C13)*2*C16-1*2*2</f>
        <v>9.020000000000001</v>
      </c>
      <c r="D87" s="11">
        <v>350</v>
      </c>
      <c r="E87" s="22">
        <f>C87*D87</f>
        <v>3157.0000000000005</v>
      </c>
      <c r="F87" s="93"/>
      <c r="G87" s="34"/>
    </row>
    <row r="88" spans="1:7" ht="15">
      <c r="A88" s="65" t="s">
        <v>214</v>
      </c>
      <c r="B88" s="66" t="s">
        <v>1</v>
      </c>
      <c r="C88" s="67">
        <f>C87*1.1</f>
        <v>9.922000000000002</v>
      </c>
      <c r="D88" s="68">
        <f>D61</f>
        <v>250</v>
      </c>
      <c r="E88" s="69"/>
      <c r="F88" s="70">
        <f>C88*D88</f>
        <v>2480.5000000000005</v>
      </c>
      <c r="G88" s="34"/>
    </row>
    <row r="89" spans="1:7" ht="15">
      <c r="A89" s="65" t="s">
        <v>215</v>
      </c>
      <c r="B89" s="66" t="s">
        <v>117</v>
      </c>
      <c r="C89" s="71">
        <f>C87*0.1</f>
        <v>0.9020000000000001</v>
      </c>
      <c r="D89" s="68">
        <f>D62</f>
        <v>120</v>
      </c>
      <c r="E89" s="69"/>
      <c r="F89" s="70">
        <f>C89*D89</f>
        <v>108.24000000000001</v>
      </c>
      <c r="G89" s="34"/>
    </row>
    <row r="90" spans="1:7" ht="20.25" customHeight="1">
      <c r="A90" s="78" t="s">
        <v>216</v>
      </c>
      <c r="B90" s="66" t="s">
        <v>1</v>
      </c>
      <c r="C90" s="67">
        <f>C87*1.1</f>
        <v>9.922000000000002</v>
      </c>
      <c r="D90" s="68">
        <f>D63</f>
        <v>18</v>
      </c>
      <c r="E90" s="80"/>
      <c r="F90" s="70">
        <f>C90*D90</f>
        <v>178.59600000000003</v>
      </c>
      <c r="G90" s="34"/>
    </row>
    <row r="91" spans="1:7" ht="15">
      <c r="A91" s="78" t="s">
        <v>125</v>
      </c>
      <c r="B91" s="66" t="s">
        <v>126</v>
      </c>
      <c r="C91" s="71">
        <f>C90*0.013</f>
        <v>0.12898600000000002</v>
      </c>
      <c r="D91" s="68">
        <f>D64</f>
        <v>40</v>
      </c>
      <c r="E91" s="80"/>
      <c r="F91" s="70">
        <f>C91*D91</f>
        <v>5.159440000000001</v>
      </c>
      <c r="G91" s="34"/>
    </row>
    <row r="92" spans="1:7" ht="46.5" customHeight="1">
      <c r="A92" s="42" t="s">
        <v>59</v>
      </c>
      <c r="B92" s="4" t="s">
        <v>9</v>
      </c>
      <c r="C92" s="18">
        <f>(C85-C13+C86-C13)*2+C16*4+(C85-C13+C86-C13)*2</f>
        <v>20.8</v>
      </c>
      <c r="D92" s="11">
        <v>50</v>
      </c>
      <c r="E92" s="22">
        <f>C92*D92</f>
        <v>1040</v>
      </c>
      <c r="F92" s="93"/>
      <c r="G92" s="34"/>
    </row>
    <row r="93" spans="1:7" ht="15">
      <c r="A93" s="65" t="s">
        <v>220</v>
      </c>
      <c r="B93" s="66" t="s">
        <v>136</v>
      </c>
      <c r="C93" s="67">
        <f>C92*1.1</f>
        <v>22.880000000000003</v>
      </c>
      <c r="D93" s="68">
        <v>20</v>
      </c>
      <c r="E93" s="69"/>
      <c r="F93" s="70">
        <f>C93*D93</f>
        <v>457.6</v>
      </c>
      <c r="G93" s="34"/>
    </row>
    <row r="94" spans="1:7" ht="32.25" customHeight="1">
      <c r="A94" s="43" t="s">
        <v>60</v>
      </c>
      <c r="B94" s="7" t="s">
        <v>0</v>
      </c>
      <c r="C94" s="10">
        <v>3.74</v>
      </c>
      <c r="D94" s="9"/>
      <c r="E94" s="23"/>
      <c r="F94" s="93"/>
      <c r="G94" s="34"/>
    </row>
    <row r="95" spans="1:7" ht="21" customHeight="1">
      <c r="A95" s="43" t="s">
        <v>61</v>
      </c>
      <c r="B95" s="7" t="s">
        <v>0</v>
      </c>
      <c r="C95" s="10">
        <v>3.35</v>
      </c>
      <c r="D95" s="9"/>
      <c r="E95" s="23"/>
      <c r="F95" s="93"/>
      <c r="G95" s="34"/>
    </row>
    <row r="96" spans="1:7" ht="29.25" customHeight="1">
      <c r="A96" s="42" t="s">
        <v>93</v>
      </c>
      <c r="B96" s="4" t="s">
        <v>1</v>
      </c>
      <c r="C96" s="18">
        <f>(C94-C13+C95-C13)*2*C16-1*2*2-1.2*0.9</f>
        <v>22.598</v>
      </c>
      <c r="D96" s="11">
        <v>300</v>
      </c>
      <c r="E96" s="22">
        <f>C96*D96</f>
        <v>6779.4</v>
      </c>
      <c r="F96" s="93"/>
      <c r="G96" s="34"/>
    </row>
    <row r="97" spans="1:7" ht="30">
      <c r="A97" s="65" t="s">
        <v>225</v>
      </c>
      <c r="B97" s="66" t="s">
        <v>4</v>
      </c>
      <c r="C97" s="67">
        <v>3</v>
      </c>
      <c r="D97" s="68">
        <v>50</v>
      </c>
      <c r="E97" s="69"/>
      <c r="F97" s="70">
        <f>C97*D97</f>
        <v>150</v>
      </c>
      <c r="G97" s="34"/>
    </row>
    <row r="98" spans="1:7" ht="30">
      <c r="A98" s="65" t="s">
        <v>226</v>
      </c>
      <c r="B98" s="66" t="s">
        <v>4</v>
      </c>
      <c r="C98" s="67">
        <v>3</v>
      </c>
      <c r="D98" s="68">
        <v>50</v>
      </c>
      <c r="E98" s="69"/>
      <c r="F98" s="70">
        <f>C98*D98</f>
        <v>150</v>
      </c>
      <c r="G98" s="34"/>
    </row>
    <row r="99" spans="1:7" ht="46.5" customHeight="1">
      <c r="A99" s="42" t="s">
        <v>94</v>
      </c>
      <c r="B99" s="4" t="s">
        <v>9</v>
      </c>
      <c r="C99" s="18">
        <f>(C94-C13+C95-C13)*2+C16*4*0+(C94-C13+C95-C13)*2*0</f>
        <v>13.18</v>
      </c>
      <c r="D99" s="11">
        <v>50</v>
      </c>
      <c r="E99" s="22">
        <f>C99*D99</f>
        <v>659</v>
      </c>
      <c r="F99" s="93"/>
      <c r="G99" s="34"/>
    </row>
    <row r="100" spans="1:7" ht="15">
      <c r="A100" s="65" t="s">
        <v>220</v>
      </c>
      <c r="B100" s="66" t="s">
        <v>136</v>
      </c>
      <c r="C100" s="67">
        <f>C99*1.1</f>
        <v>14.498000000000001</v>
      </c>
      <c r="D100" s="68">
        <v>20</v>
      </c>
      <c r="E100" s="69"/>
      <c r="F100" s="70">
        <f>C100*D100</f>
        <v>289.96000000000004</v>
      </c>
      <c r="G100" s="34"/>
    </row>
    <row r="101" spans="1:7" ht="32.25" customHeight="1">
      <c r="A101" s="43" t="s">
        <v>73</v>
      </c>
      <c r="B101" s="7" t="s">
        <v>0</v>
      </c>
      <c r="C101" s="10">
        <v>4</v>
      </c>
      <c r="D101" s="9"/>
      <c r="E101" s="23"/>
      <c r="F101" s="93"/>
      <c r="G101" s="34"/>
    </row>
    <row r="102" spans="1:7" ht="21" customHeight="1">
      <c r="A102" s="43" t="s">
        <v>74</v>
      </c>
      <c r="B102" s="7" t="s">
        <v>0</v>
      </c>
      <c r="C102" s="10">
        <f>6.5-3.74</f>
        <v>2.76</v>
      </c>
      <c r="D102" s="9"/>
      <c r="E102" s="23"/>
      <c r="F102" s="93"/>
      <c r="G102" s="34"/>
    </row>
    <row r="103" spans="1:7" ht="46.5" customHeight="1">
      <c r="A103" s="42" t="s">
        <v>75</v>
      </c>
      <c r="B103" s="4" t="s">
        <v>9</v>
      </c>
      <c r="C103" s="18">
        <f>(C101-C13+C102-C13)*2+C16*4*0+(C101-C13+C102-C13)*2*0</f>
        <v>12.52</v>
      </c>
      <c r="D103" s="11">
        <v>50</v>
      </c>
      <c r="E103" s="22">
        <f>C103*D103</f>
        <v>626</v>
      </c>
      <c r="F103" s="93"/>
      <c r="G103" s="34"/>
    </row>
    <row r="104" spans="1:7" ht="15">
      <c r="A104" s="65" t="s">
        <v>220</v>
      </c>
      <c r="B104" s="66" t="s">
        <v>136</v>
      </c>
      <c r="C104" s="67">
        <f>C103*1.1</f>
        <v>13.772</v>
      </c>
      <c r="D104" s="68">
        <f>D100</f>
        <v>20</v>
      </c>
      <c r="E104" s="69"/>
      <c r="F104" s="70">
        <f>C104*D104</f>
        <v>275.44</v>
      </c>
      <c r="G104" s="34"/>
    </row>
    <row r="105" spans="1:7" ht="32.25" customHeight="1">
      <c r="A105" s="43" t="s">
        <v>62</v>
      </c>
      <c r="B105" s="7" t="s">
        <v>0</v>
      </c>
      <c r="C105" s="10">
        <f>6.5-3.74</f>
        <v>2.76</v>
      </c>
      <c r="D105" s="9"/>
      <c r="E105" s="23"/>
      <c r="F105" s="93"/>
      <c r="G105" s="34"/>
    </row>
    <row r="106" spans="1:7" ht="21" customHeight="1">
      <c r="A106" s="43" t="s">
        <v>63</v>
      </c>
      <c r="B106" s="7" t="s">
        <v>0</v>
      </c>
      <c r="C106" s="10">
        <v>2</v>
      </c>
      <c r="D106" s="9"/>
      <c r="E106" s="23"/>
      <c r="F106" s="93"/>
      <c r="G106" s="34"/>
    </row>
    <row r="107" spans="1:7" ht="46.5" customHeight="1">
      <c r="A107" s="42" t="s">
        <v>79</v>
      </c>
      <c r="B107" s="4" t="s">
        <v>9</v>
      </c>
      <c r="C107" s="18">
        <f>(C105-C13+C106-C13)*2+C16*4*0+(C105-C13+C106-C13)*2*0</f>
        <v>8.52</v>
      </c>
      <c r="D107" s="11">
        <v>50</v>
      </c>
      <c r="E107" s="22">
        <f>C107*D107</f>
        <v>426</v>
      </c>
      <c r="F107" s="93"/>
      <c r="G107" s="34"/>
    </row>
    <row r="108" spans="1:7" ht="15">
      <c r="A108" s="65" t="s">
        <v>220</v>
      </c>
      <c r="B108" s="66" t="s">
        <v>136</v>
      </c>
      <c r="C108" s="67">
        <f>C107*1.1</f>
        <v>9.372</v>
      </c>
      <c r="D108" s="68">
        <f>D104</f>
        <v>20</v>
      </c>
      <c r="E108" s="69"/>
      <c r="F108" s="70">
        <f>C108*D108</f>
        <v>187.44</v>
      </c>
      <c r="G108" s="34"/>
    </row>
    <row r="109" spans="1:7" ht="53.25" customHeight="1">
      <c r="A109" s="42" t="s">
        <v>81</v>
      </c>
      <c r="B109" s="4" t="s">
        <v>4</v>
      </c>
      <c r="C109" s="15">
        <v>1</v>
      </c>
      <c r="D109" s="11">
        <v>900</v>
      </c>
      <c r="E109" s="22">
        <f>C109*D109</f>
        <v>900</v>
      </c>
      <c r="F109" s="92"/>
      <c r="G109" s="33" t="s">
        <v>28</v>
      </c>
    </row>
    <row r="110" spans="1:7" ht="15">
      <c r="A110" s="65" t="s">
        <v>137</v>
      </c>
      <c r="B110" s="66" t="s">
        <v>136</v>
      </c>
      <c r="C110" s="67">
        <f>(3)*C109</f>
        <v>3</v>
      </c>
      <c r="D110" s="68">
        <v>14</v>
      </c>
      <c r="E110" s="69"/>
      <c r="F110" s="70">
        <f>C110*D110</f>
        <v>42</v>
      </c>
      <c r="G110" s="34"/>
    </row>
    <row r="111" spans="1:7" ht="33" customHeight="1">
      <c r="A111" s="42" t="s">
        <v>82</v>
      </c>
      <c r="B111" s="4" t="s">
        <v>4</v>
      </c>
      <c r="C111" s="15">
        <f>C109</f>
        <v>1</v>
      </c>
      <c r="D111" s="11">
        <v>1500</v>
      </c>
      <c r="E111" s="22">
        <f>C111*D111</f>
        <v>1500</v>
      </c>
      <c r="F111" s="93"/>
      <c r="G111" s="34"/>
    </row>
    <row r="112" spans="1:7" ht="15">
      <c r="A112" s="65" t="s">
        <v>138</v>
      </c>
      <c r="B112" s="66" t="s">
        <v>4</v>
      </c>
      <c r="C112" s="67">
        <f>C111</f>
        <v>1</v>
      </c>
      <c r="D112" s="68">
        <v>2500</v>
      </c>
      <c r="E112" s="69"/>
      <c r="F112" s="70">
        <f>C112*D112</f>
        <v>2500</v>
      </c>
      <c r="G112" s="34"/>
    </row>
    <row r="113" spans="1:7" ht="33" customHeight="1">
      <c r="A113" s="42" t="s">
        <v>106</v>
      </c>
      <c r="B113" s="4" t="s">
        <v>4</v>
      </c>
      <c r="C113" s="15">
        <f>C109</f>
        <v>1</v>
      </c>
      <c r="D113" s="11">
        <v>1000</v>
      </c>
      <c r="E113" s="22">
        <f>C113*D113</f>
        <v>1000</v>
      </c>
      <c r="F113" s="93"/>
      <c r="G113" s="34"/>
    </row>
    <row r="114" spans="1:7" ht="30">
      <c r="A114" s="65" t="s">
        <v>228</v>
      </c>
      <c r="B114" s="66" t="s">
        <v>4</v>
      </c>
      <c r="C114" s="67">
        <f>C113*3*2</f>
        <v>6</v>
      </c>
      <c r="D114" s="68">
        <v>20</v>
      </c>
      <c r="E114" s="69"/>
      <c r="F114" s="70">
        <f>C114*D114</f>
        <v>120</v>
      </c>
      <c r="G114" s="34"/>
    </row>
    <row r="115" spans="1:7" ht="29.25" customHeight="1">
      <c r="A115" s="65" t="s">
        <v>229</v>
      </c>
      <c r="B115" s="66" t="s">
        <v>1</v>
      </c>
      <c r="C115" s="71">
        <f>(2.1*2+1)*0.3*C113*1.1</f>
        <v>1.7160000000000002</v>
      </c>
      <c r="D115" s="68">
        <f>D61</f>
        <v>250</v>
      </c>
      <c r="E115" s="69"/>
      <c r="F115" s="70">
        <f>C115*D115</f>
        <v>429.00000000000006</v>
      </c>
      <c r="G115" s="34"/>
    </row>
    <row r="116" spans="1:7" ht="30">
      <c r="A116" s="65" t="s">
        <v>116</v>
      </c>
      <c r="B116" s="66" t="s">
        <v>117</v>
      </c>
      <c r="C116" s="71">
        <f>C114*0.1</f>
        <v>0.6000000000000001</v>
      </c>
      <c r="D116" s="68">
        <f>D62</f>
        <v>120</v>
      </c>
      <c r="E116" s="69"/>
      <c r="F116" s="70">
        <f>C116*D116</f>
        <v>72.00000000000001</v>
      </c>
      <c r="G116" s="34"/>
    </row>
    <row r="117" spans="1:7" ht="33" customHeight="1">
      <c r="A117" s="42" t="s">
        <v>12</v>
      </c>
      <c r="B117" s="4" t="s">
        <v>4</v>
      </c>
      <c r="C117" s="15">
        <f>C109</f>
        <v>1</v>
      </c>
      <c r="D117" s="11">
        <v>500</v>
      </c>
      <c r="E117" s="22">
        <f>C117*D117</f>
        <v>500</v>
      </c>
      <c r="F117" s="92"/>
      <c r="G117" s="33" t="s">
        <v>24</v>
      </c>
    </row>
    <row r="118" spans="1:7" ht="15">
      <c r="A118" s="65" t="s">
        <v>139</v>
      </c>
      <c r="B118" s="66" t="s">
        <v>4</v>
      </c>
      <c r="C118" s="67">
        <f>C117</f>
        <v>1</v>
      </c>
      <c r="D118" s="68">
        <v>600</v>
      </c>
      <c r="E118" s="69"/>
      <c r="F118" s="70">
        <f>C118*D118</f>
        <v>600</v>
      </c>
      <c r="G118" s="34"/>
    </row>
    <row r="119" spans="1:7" ht="33" customHeight="1">
      <c r="A119" s="42" t="s">
        <v>13</v>
      </c>
      <c r="B119" s="4" t="s">
        <v>4</v>
      </c>
      <c r="C119" s="15">
        <f>C109</f>
        <v>1</v>
      </c>
      <c r="D119" s="11">
        <v>100</v>
      </c>
      <c r="E119" s="22">
        <f>C119*D119</f>
        <v>100</v>
      </c>
      <c r="F119" s="93"/>
      <c r="G119" s="34"/>
    </row>
    <row r="120" spans="1:7" ht="15">
      <c r="A120" s="65" t="s">
        <v>230</v>
      </c>
      <c r="B120" s="66" t="s">
        <v>4</v>
      </c>
      <c r="C120" s="67">
        <f>C119</f>
        <v>1</v>
      </c>
      <c r="D120" s="68">
        <v>130</v>
      </c>
      <c r="E120" s="69"/>
      <c r="F120" s="70">
        <f>C120*D120</f>
        <v>130</v>
      </c>
      <c r="G120" s="34"/>
    </row>
    <row r="121" spans="1:7" ht="33" customHeight="1">
      <c r="A121" s="42" t="s">
        <v>30</v>
      </c>
      <c r="B121" s="4" t="s">
        <v>4</v>
      </c>
      <c r="C121" s="15">
        <v>0</v>
      </c>
      <c r="D121" s="11">
        <v>500</v>
      </c>
      <c r="E121" s="22">
        <f>C121*D121</f>
        <v>0</v>
      </c>
      <c r="F121" s="92"/>
      <c r="G121" s="33" t="s">
        <v>83</v>
      </c>
    </row>
    <row r="122" spans="1:7" ht="44.25" customHeight="1">
      <c r="A122" s="42" t="s">
        <v>18</v>
      </c>
      <c r="B122" s="4" t="s">
        <v>4</v>
      </c>
      <c r="C122" s="15">
        <v>3</v>
      </c>
      <c r="D122" s="11">
        <v>450</v>
      </c>
      <c r="E122" s="22">
        <f>C122*D122</f>
        <v>1350</v>
      </c>
      <c r="F122" s="92"/>
      <c r="G122" s="33" t="s">
        <v>84</v>
      </c>
    </row>
    <row r="123" spans="1:7" ht="33" customHeight="1">
      <c r="A123" s="16" t="s">
        <v>85</v>
      </c>
      <c r="B123" s="4" t="s">
        <v>4</v>
      </c>
      <c r="C123" s="15">
        <f>C122</f>
        <v>3</v>
      </c>
      <c r="D123" s="11">
        <v>750</v>
      </c>
      <c r="E123" s="22">
        <f>C123*D123</f>
        <v>2250</v>
      </c>
      <c r="F123" s="93"/>
      <c r="G123" s="34"/>
    </row>
    <row r="124" spans="1:7" ht="15">
      <c r="A124" s="65" t="s">
        <v>143</v>
      </c>
      <c r="B124" s="66" t="s">
        <v>4</v>
      </c>
      <c r="C124" s="67">
        <f>C123</f>
        <v>3</v>
      </c>
      <c r="D124" s="68">
        <v>1000</v>
      </c>
      <c r="E124" s="69"/>
      <c r="F124" s="70">
        <f>C124*D124</f>
        <v>3000</v>
      </c>
      <c r="G124" s="34"/>
    </row>
    <row r="125" spans="1:7" ht="33" customHeight="1">
      <c r="A125" s="16" t="s">
        <v>107</v>
      </c>
      <c r="B125" s="4" t="s">
        <v>4</v>
      </c>
      <c r="C125" s="15">
        <f>C122</f>
        <v>3</v>
      </c>
      <c r="D125" s="11">
        <v>700</v>
      </c>
      <c r="E125" s="22">
        <f>C125*D125</f>
        <v>2100</v>
      </c>
      <c r="F125" s="93"/>
      <c r="G125" s="34"/>
    </row>
    <row r="126" spans="1:7" ht="15">
      <c r="A126" s="65" t="s">
        <v>232</v>
      </c>
      <c r="B126" s="66"/>
      <c r="C126" s="67"/>
      <c r="D126" s="68"/>
      <c r="E126" s="69"/>
      <c r="F126" s="70">
        <f>C126*D126</f>
        <v>0</v>
      </c>
      <c r="G126" s="34"/>
    </row>
    <row r="127" spans="1:7" ht="33" customHeight="1">
      <c r="A127" s="16" t="s">
        <v>14</v>
      </c>
      <c r="B127" s="4" t="s">
        <v>4</v>
      </c>
      <c r="C127" s="15">
        <f>C122</f>
        <v>3</v>
      </c>
      <c r="D127" s="11">
        <v>50</v>
      </c>
      <c r="E127" s="22">
        <f>C127*D127</f>
        <v>150</v>
      </c>
      <c r="F127" s="93"/>
      <c r="G127" s="34"/>
    </row>
    <row r="128" spans="1:7" ht="15">
      <c r="A128" s="65" t="s">
        <v>144</v>
      </c>
      <c r="B128" s="66" t="s">
        <v>4</v>
      </c>
      <c r="C128" s="67">
        <f>C127/3*2</f>
        <v>2</v>
      </c>
      <c r="D128" s="68">
        <v>100</v>
      </c>
      <c r="E128" s="69"/>
      <c r="F128" s="70">
        <f>C128*D128</f>
        <v>200</v>
      </c>
      <c r="G128" s="34"/>
    </row>
    <row r="129" spans="1:7" ht="48.75" customHeight="1">
      <c r="A129" s="16" t="s">
        <v>25</v>
      </c>
      <c r="B129" s="4" t="s">
        <v>4</v>
      </c>
      <c r="C129" s="15">
        <v>4</v>
      </c>
      <c r="D129" s="11">
        <v>900</v>
      </c>
      <c r="E129" s="22">
        <f>C129*D129</f>
        <v>3600</v>
      </c>
      <c r="F129" s="92"/>
      <c r="G129" s="33" t="s">
        <v>27</v>
      </c>
    </row>
    <row r="130" spans="1:7" ht="15">
      <c r="A130" s="65" t="s">
        <v>137</v>
      </c>
      <c r="B130" s="66" t="s">
        <v>136</v>
      </c>
      <c r="C130" s="67">
        <f>4*C129</f>
        <v>16</v>
      </c>
      <c r="D130" s="68">
        <f>D110</f>
        <v>14</v>
      </c>
      <c r="E130" s="69"/>
      <c r="F130" s="70">
        <f>C130*D130</f>
        <v>224</v>
      </c>
      <c r="G130" s="34"/>
    </row>
    <row r="131" spans="1:7" ht="43.5" customHeight="1">
      <c r="A131" s="42" t="s">
        <v>26</v>
      </c>
      <c r="B131" s="4" t="s">
        <v>4</v>
      </c>
      <c r="C131" s="15">
        <f>C129</f>
        <v>4</v>
      </c>
      <c r="D131" s="11">
        <v>1500</v>
      </c>
      <c r="E131" s="22">
        <f>C131*D131</f>
        <v>6000</v>
      </c>
      <c r="F131" s="93"/>
      <c r="G131" s="34"/>
    </row>
    <row r="132" spans="1:7" ht="30" customHeight="1">
      <c r="A132" s="65" t="s">
        <v>145</v>
      </c>
      <c r="B132" s="66" t="s">
        <v>4</v>
      </c>
      <c r="C132" s="67">
        <v>1</v>
      </c>
      <c r="D132" s="68">
        <v>5500</v>
      </c>
      <c r="E132" s="69"/>
      <c r="F132" s="70">
        <f>C132*D132</f>
        <v>5500</v>
      </c>
      <c r="G132" s="34"/>
    </row>
    <row r="133" spans="1:7" ht="26.25" customHeight="1">
      <c r="A133" s="65" t="s">
        <v>146</v>
      </c>
      <c r="B133" s="66" t="s">
        <v>4</v>
      </c>
      <c r="C133" s="67">
        <f>C131-C132</f>
        <v>3</v>
      </c>
      <c r="D133" s="68">
        <v>2500</v>
      </c>
      <c r="E133" s="69"/>
      <c r="F133" s="70">
        <f>C133*D133</f>
        <v>7500</v>
      </c>
      <c r="G133" s="34"/>
    </row>
    <row r="134" spans="1:7" ht="26.25" customHeight="1">
      <c r="A134" s="65" t="s">
        <v>147</v>
      </c>
      <c r="B134" s="66" t="s">
        <v>4</v>
      </c>
      <c r="C134" s="67">
        <f>C132+C133</f>
        <v>4</v>
      </c>
      <c r="D134" s="68">
        <v>200</v>
      </c>
      <c r="E134" s="69"/>
      <c r="F134" s="70">
        <f>C134*D134</f>
        <v>800</v>
      </c>
      <c r="G134" s="34"/>
    </row>
    <row r="135" spans="1:7" ht="48.75" customHeight="1">
      <c r="A135" s="42" t="s">
        <v>19</v>
      </c>
      <c r="B135" s="4" t="s">
        <v>4</v>
      </c>
      <c r="C135" s="15">
        <f>C129</f>
        <v>4</v>
      </c>
      <c r="D135" s="11">
        <v>1000</v>
      </c>
      <c r="E135" s="22">
        <f>C135*D135</f>
        <v>4000</v>
      </c>
      <c r="F135" s="93"/>
      <c r="G135" s="34"/>
    </row>
    <row r="136" spans="1:7" ht="30">
      <c r="A136" s="65" t="s">
        <v>228</v>
      </c>
      <c r="B136" s="66" t="s">
        <v>4</v>
      </c>
      <c r="C136" s="67">
        <f>C135*3*2</f>
        <v>24</v>
      </c>
      <c r="D136" s="68">
        <f>D114</f>
        <v>20</v>
      </c>
      <c r="E136" s="69"/>
      <c r="F136" s="70">
        <f>C136*D136</f>
        <v>480</v>
      </c>
      <c r="G136" s="34"/>
    </row>
    <row r="137" spans="1:7" ht="29.25" customHeight="1">
      <c r="A137" s="65" t="s">
        <v>233</v>
      </c>
      <c r="B137" s="66" t="s">
        <v>1</v>
      </c>
      <c r="C137" s="71">
        <f>(1.5*3)*0.3*C135*1.1</f>
        <v>5.9399999999999995</v>
      </c>
      <c r="D137" s="68">
        <f>D115</f>
        <v>250</v>
      </c>
      <c r="E137" s="69"/>
      <c r="F137" s="70">
        <f>C137*D137</f>
        <v>1484.9999999999998</v>
      </c>
      <c r="G137" s="34"/>
    </row>
    <row r="138" spans="1:7" ht="30">
      <c r="A138" s="65" t="s">
        <v>116</v>
      </c>
      <c r="B138" s="66" t="s">
        <v>117</v>
      </c>
      <c r="C138" s="71">
        <f>C136*0.1</f>
        <v>2.4000000000000004</v>
      </c>
      <c r="D138" s="68">
        <f>D116</f>
        <v>120</v>
      </c>
      <c r="E138" s="69"/>
      <c r="F138" s="70">
        <f>C138*D138</f>
        <v>288.00000000000006</v>
      </c>
      <c r="G138" s="34"/>
    </row>
    <row r="139" spans="1:7" ht="33" customHeight="1">
      <c r="A139" s="16" t="s">
        <v>31</v>
      </c>
      <c r="B139" s="4" t="s">
        <v>4</v>
      </c>
      <c r="C139" s="15">
        <v>0</v>
      </c>
      <c r="D139" s="11">
        <v>300</v>
      </c>
      <c r="E139" s="22">
        <f>C139*D139</f>
        <v>0</v>
      </c>
      <c r="F139" s="92"/>
      <c r="G139" s="33" t="s">
        <v>87</v>
      </c>
    </row>
    <row r="140" spans="1:7" ht="43.5" customHeight="1">
      <c r="A140" s="42" t="s">
        <v>86</v>
      </c>
      <c r="B140" s="4" t="s">
        <v>4</v>
      </c>
      <c r="C140" s="15">
        <v>0</v>
      </c>
      <c r="D140" s="11">
        <v>1200</v>
      </c>
      <c r="E140" s="22">
        <f>C140*D140</f>
        <v>0</v>
      </c>
      <c r="F140" s="92"/>
      <c r="G140" s="33" t="s">
        <v>88</v>
      </c>
    </row>
    <row r="141" spans="1:7" ht="43.5" customHeight="1">
      <c r="A141" s="42" t="s">
        <v>32</v>
      </c>
      <c r="B141" s="4" t="s">
        <v>4</v>
      </c>
      <c r="C141" s="15">
        <v>1</v>
      </c>
      <c r="D141" s="11">
        <v>900</v>
      </c>
      <c r="E141" s="22">
        <f>C141*D141</f>
        <v>900</v>
      </c>
      <c r="F141" s="92"/>
      <c r="G141" s="33"/>
    </row>
    <row r="142" spans="1:7" ht="15">
      <c r="A142" s="65" t="s">
        <v>137</v>
      </c>
      <c r="B142" s="66" t="s">
        <v>136</v>
      </c>
      <c r="C142" s="67">
        <f>(3)*C141</f>
        <v>3</v>
      </c>
      <c r="D142" s="68">
        <f>D130</f>
        <v>14</v>
      </c>
      <c r="E142" s="69"/>
      <c r="F142" s="70">
        <f>C142*D142</f>
        <v>42</v>
      </c>
      <c r="G142" s="34"/>
    </row>
    <row r="143" spans="1:7" ht="97.5" customHeight="1">
      <c r="A143" s="42" t="s">
        <v>29</v>
      </c>
      <c r="B143" s="4" t="s">
        <v>4</v>
      </c>
      <c r="C143" s="15">
        <v>1</v>
      </c>
      <c r="D143" s="11">
        <v>8000</v>
      </c>
      <c r="E143" s="22">
        <f>C143*D143</f>
        <v>8000</v>
      </c>
      <c r="F143" s="93"/>
      <c r="G143" s="34"/>
    </row>
    <row r="144" spans="1:7" ht="48" customHeight="1">
      <c r="A144" s="65" t="s">
        <v>166</v>
      </c>
      <c r="B144" s="66" t="s">
        <v>4</v>
      </c>
      <c r="C144" s="67">
        <v>1</v>
      </c>
      <c r="D144" s="68">
        <v>19000</v>
      </c>
      <c r="E144" s="69"/>
      <c r="F144" s="70">
        <f aca="true" t="shared" si="1" ref="F144:F153">C144*D144</f>
        <v>19000</v>
      </c>
      <c r="G144" s="34"/>
    </row>
    <row r="145" spans="1:7" ht="47.25" customHeight="1">
      <c r="A145" s="65" t="s">
        <v>167</v>
      </c>
      <c r="B145" s="66" t="s">
        <v>4</v>
      </c>
      <c r="C145" s="67">
        <v>50</v>
      </c>
      <c r="D145" s="68">
        <v>40</v>
      </c>
      <c r="E145" s="69"/>
      <c r="F145" s="70">
        <f t="shared" si="1"/>
        <v>2000</v>
      </c>
      <c r="G145" s="34"/>
    </row>
    <row r="146" spans="1:7" ht="65.25" customHeight="1">
      <c r="A146" s="65" t="s">
        <v>168</v>
      </c>
      <c r="B146" s="66" t="s">
        <v>0</v>
      </c>
      <c r="C146" s="67">
        <v>6</v>
      </c>
      <c r="D146" s="68">
        <v>1600</v>
      </c>
      <c r="E146" s="69"/>
      <c r="F146" s="70">
        <f t="shared" si="1"/>
        <v>9600</v>
      </c>
      <c r="G146" s="34"/>
    </row>
    <row r="147" spans="1:7" ht="47.25" customHeight="1">
      <c r="A147" s="65" t="s">
        <v>169</v>
      </c>
      <c r="B147" s="66" t="s">
        <v>4</v>
      </c>
      <c r="C147" s="67">
        <v>1</v>
      </c>
      <c r="D147" s="68">
        <v>700</v>
      </c>
      <c r="E147" s="69"/>
      <c r="F147" s="70">
        <f t="shared" si="1"/>
        <v>700</v>
      </c>
      <c r="G147" s="34"/>
    </row>
    <row r="148" spans="1:7" ht="47.25" customHeight="1">
      <c r="A148" s="65" t="s">
        <v>170</v>
      </c>
      <c r="B148" s="66" t="s">
        <v>4</v>
      </c>
      <c r="C148" s="67">
        <v>1</v>
      </c>
      <c r="D148" s="68">
        <v>1500</v>
      </c>
      <c r="E148" s="69"/>
      <c r="F148" s="70">
        <f t="shared" si="1"/>
        <v>1500</v>
      </c>
      <c r="G148" s="34"/>
    </row>
    <row r="149" spans="1:7" ht="19.5" customHeight="1">
      <c r="A149" s="65" t="s">
        <v>171</v>
      </c>
      <c r="B149" s="66" t="s">
        <v>4</v>
      </c>
      <c r="C149" s="67">
        <f>C148</f>
        <v>1</v>
      </c>
      <c r="D149" s="68">
        <v>500</v>
      </c>
      <c r="E149" s="69"/>
      <c r="F149" s="70">
        <f t="shared" si="1"/>
        <v>500</v>
      </c>
      <c r="G149" s="34"/>
    </row>
    <row r="150" spans="1:7" ht="38.25" customHeight="1">
      <c r="A150" s="65" t="s">
        <v>172</v>
      </c>
      <c r="B150" s="66" t="s">
        <v>4</v>
      </c>
      <c r="C150" s="67">
        <v>1</v>
      </c>
      <c r="D150" s="68">
        <v>2500</v>
      </c>
      <c r="E150" s="69"/>
      <c r="F150" s="70">
        <f t="shared" si="1"/>
        <v>2500</v>
      </c>
      <c r="G150" s="34"/>
    </row>
    <row r="151" spans="1:7" ht="24.75" customHeight="1">
      <c r="A151" s="65" t="s">
        <v>173</v>
      </c>
      <c r="B151" s="66" t="s">
        <v>4</v>
      </c>
      <c r="C151" s="67">
        <v>1</v>
      </c>
      <c r="D151" s="68">
        <v>200</v>
      </c>
      <c r="E151" s="69"/>
      <c r="F151" s="70">
        <f t="shared" si="1"/>
        <v>200</v>
      </c>
      <c r="G151" s="34"/>
    </row>
    <row r="152" spans="1:7" ht="24.75" customHeight="1">
      <c r="A152" s="65" t="s">
        <v>174</v>
      </c>
      <c r="B152" s="66" t="s">
        <v>117</v>
      </c>
      <c r="C152" s="67">
        <v>46</v>
      </c>
      <c r="D152" s="68">
        <v>65</v>
      </c>
      <c r="E152" s="69"/>
      <c r="F152" s="70">
        <f t="shared" si="1"/>
        <v>2990</v>
      </c>
      <c r="G152" s="34"/>
    </row>
    <row r="153" spans="1:7" ht="24.75" customHeight="1">
      <c r="A153" s="65" t="s">
        <v>175</v>
      </c>
      <c r="B153" s="66" t="s">
        <v>1</v>
      </c>
      <c r="C153" s="67">
        <v>1</v>
      </c>
      <c r="D153" s="68">
        <v>500</v>
      </c>
      <c r="E153" s="69"/>
      <c r="F153" s="70">
        <f t="shared" si="1"/>
        <v>500</v>
      </c>
      <c r="G153" s="34"/>
    </row>
    <row r="154" spans="1:7" ht="24.75" customHeight="1">
      <c r="A154" s="65" t="s">
        <v>176</v>
      </c>
      <c r="B154" s="66"/>
      <c r="C154" s="67"/>
      <c r="D154" s="68"/>
      <c r="E154" s="69"/>
      <c r="F154" s="70">
        <f>SUM(F144:F153)*0.05</f>
        <v>1974.5</v>
      </c>
      <c r="G154" s="34"/>
    </row>
    <row r="155" spans="1:7" ht="63.75" customHeight="1">
      <c r="A155" s="42" t="s">
        <v>89</v>
      </c>
      <c r="B155" s="4" t="s">
        <v>1</v>
      </c>
      <c r="C155" s="15">
        <f>1*C5</f>
        <v>6.5</v>
      </c>
      <c r="D155" s="11">
        <v>200</v>
      </c>
      <c r="E155" s="22">
        <f>C155*D155</f>
        <v>1300</v>
      </c>
      <c r="F155" s="92"/>
      <c r="G155" s="33" t="s">
        <v>90</v>
      </c>
    </row>
    <row r="156" spans="1:7" ht="28.5" customHeight="1">
      <c r="A156" s="65" t="s">
        <v>234</v>
      </c>
      <c r="B156" s="66" t="s">
        <v>5</v>
      </c>
      <c r="C156" s="71">
        <f>C155*0.04*1.1</f>
        <v>0.28600000000000003</v>
      </c>
      <c r="D156" s="68">
        <v>5000</v>
      </c>
      <c r="E156" s="69"/>
      <c r="F156" s="70">
        <f>C156*D156</f>
        <v>1430.0000000000002</v>
      </c>
      <c r="G156" s="34"/>
    </row>
    <row r="157" spans="1:7" ht="24.75" customHeight="1">
      <c r="A157" s="65" t="s">
        <v>235</v>
      </c>
      <c r="B157" s="66" t="s">
        <v>117</v>
      </c>
      <c r="C157" s="71">
        <f>C155*0.5</f>
        <v>3.25</v>
      </c>
      <c r="D157" s="68">
        <v>80</v>
      </c>
      <c r="E157" s="69"/>
      <c r="F157" s="70">
        <f>C157*D157</f>
        <v>260</v>
      </c>
      <c r="G157" s="34"/>
    </row>
    <row r="158" spans="1:7" ht="22.5" customHeight="1">
      <c r="A158" s="44" t="s">
        <v>95</v>
      </c>
      <c r="B158" s="4"/>
      <c r="C158" s="15"/>
      <c r="D158" s="11"/>
      <c r="E158" s="22"/>
      <c r="F158" s="92"/>
      <c r="G158" s="33"/>
    </row>
    <row r="159" spans="1:7" ht="32.25" customHeight="1">
      <c r="A159" s="43" t="s">
        <v>96</v>
      </c>
      <c r="B159" s="7" t="s">
        <v>0</v>
      </c>
      <c r="C159" s="8">
        <f>C6+0.3*2</f>
        <v>6.6</v>
      </c>
      <c r="D159" s="9"/>
      <c r="E159" s="21"/>
      <c r="F159" s="93"/>
      <c r="G159" s="34"/>
    </row>
    <row r="160" spans="1:7" ht="21" customHeight="1">
      <c r="A160" s="43" t="s">
        <v>97</v>
      </c>
      <c r="B160" s="7" t="s">
        <v>0</v>
      </c>
      <c r="C160" s="8">
        <f>4.63*2</f>
        <v>9.26</v>
      </c>
      <c r="D160" s="9"/>
      <c r="E160" s="21"/>
      <c r="F160" s="93"/>
      <c r="G160" s="34"/>
    </row>
    <row r="161" spans="1:7" ht="188.25" customHeight="1">
      <c r="A161" s="16" t="s">
        <v>98</v>
      </c>
      <c r="B161" s="4" t="s">
        <v>1</v>
      </c>
      <c r="C161" s="84">
        <v>71</v>
      </c>
      <c r="D161" s="11">
        <v>160</v>
      </c>
      <c r="E161" s="83">
        <v>9778.56</v>
      </c>
      <c r="F161" s="92"/>
      <c r="G161" s="33" t="s">
        <v>104</v>
      </c>
    </row>
    <row r="162" spans="1:7" ht="29.25" customHeight="1">
      <c r="A162" s="65" t="s">
        <v>236</v>
      </c>
      <c r="B162" s="66" t="s">
        <v>1</v>
      </c>
      <c r="C162" s="67">
        <f>C161</f>
        <v>71</v>
      </c>
      <c r="D162" s="68">
        <v>170</v>
      </c>
      <c r="E162" s="69"/>
      <c r="F162" s="70">
        <f>C162*D162</f>
        <v>12070</v>
      </c>
      <c r="G162" s="34"/>
    </row>
    <row r="163" spans="1:7" ht="29.25" customHeight="1">
      <c r="A163" s="65" t="s">
        <v>237</v>
      </c>
      <c r="B163" s="66" t="s">
        <v>0</v>
      </c>
      <c r="C163" s="67">
        <f>C5+0.3*2+1</f>
        <v>8.1</v>
      </c>
      <c r="D163" s="68">
        <v>200</v>
      </c>
      <c r="E163" s="69"/>
      <c r="F163" s="70">
        <f>C163*D163</f>
        <v>1620</v>
      </c>
      <c r="G163" s="34"/>
    </row>
    <row r="164" spans="1:7" ht="29.25" customHeight="1">
      <c r="A164" s="65" t="s">
        <v>250</v>
      </c>
      <c r="B164" s="66" t="s">
        <v>4</v>
      </c>
      <c r="C164" s="67">
        <f>C162*8</f>
        <v>568</v>
      </c>
      <c r="D164" s="68">
        <v>2</v>
      </c>
      <c r="E164" s="69"/>
      <c r="F164" s="70">
        <f>C164*D164</f>
        <v>1136</v>
      </c>
      <c r="G164" s="34"/>
    </row>
    <row r="165" spans="1:7" ht="22.5" customHeight="1">
      <c r="A165" s="44" t="s">
        <v>35</v>
      </c>
      <c r="B165" s="4"/>
      <c r="C165" s="15"/>
      <c r="D165" s="11"/>
      <c r="E165" s="22"/>
      <c r="F165" s="92"/>
      <c r="G165" s="33"/>
    </row>
    <row r="166" spans="1:7" ht="42.75" customHeight="1">
      <c r="A166" s="16" t="s">
        <v>91</v>
      </c>
      <c r="B166" s="4" t="s">
        <v>1</v>
      </c>
      <c r="C166" s="26">
        <f>C5*C12*2</f>
        <v>28.6</v>
      </c>
      <c r="D166" s="11">
        <v>40</v>
      </c>
      <c r="E166" s="22">
        <f>C166*D166</f>
        <v>1144</v>
      </c>
      <c r="F166" s="93"/>
      <c r="G166" s="34"/>
    </row>
    <row r="167" spans="1:7" ht="28.5" customHeight="1">
      <c r="A167" s="65" t="s">
        <v>151</v>
      </c>
      <c r="B167" s="66" t="s">
        <v>4</v>
      </c>
      <c r="C167" s="67">
        <v>6</v>
      </c>
      <c r="D167" s="68">
        <v>225</v>
      </c>
      <c r="E167" s="69"/>
      <c r="F167" s="70">
        <f>C167*D167</f>
        <v>1350</v>
      </c>
      <c r="G167" s="34"/>
    </row>
    <row r="168" spans="1:7" ht="24.75" customHeight="1">
      <c r="A168" s="65" t="s">
        <v>238</v>
      </c>
      <c r="B168" s="66" t="s">
        <v>117</v>
      </c>
      <c r="C168" s="71">
        <f>C166*0.01</f>
        <v>0.28600000000000003</v>
      </c>
      <c r="D168" s="68">
        <v>80</v>
      </c>
      <c r="E168" s="69"/>
      <c r="F168" s="70">
        <f>C168*D168</f>
        <v>22.880000000000003</v>
      </c>
      <c r="G168" s="34"/>
    </row>
    <row r="169" spans="1:7" ht="24.75" customHeight="1">
      <c r="A169" s="65" t="s">
        <v>235</v>
      </c>
      <c r="B169" s="66" t="s">
        <v>117</v>
      </c>
      <c r="C169" s="71">
        <f>C167*0.03</f>
        <v>0.18</v>
      </c>
      <c r="D169" s="68">
        <v>80</v>
      </c>
      <c r="E169" s="69"/>
      <c r="F169" s="70">
        <f>C169*D169</f>
        <v>14.399999999999999</v>
      </c>
      <c r="G169" s="34"/>
    </row>
    <row r="170" spans="1:7" ht="60.75" customHeight="1">
      <c r="A170" s="42" t="s">
        <v>36</v>
      </c>
      <c r="B170" s="4" t="s">
        <v>9</v>
      </c>
      <c r="C170" s="26">
        <f>(C5+0.3*2)*2+4.63*4</f>
        <v>32.72</v>
      </c>
      <c r="D170" s="11">
        <v>200</v>
      </c>
      <c r="E170" s="22">
        <f>C170*D170</f>
        <v>6544</v>
      </c>
      <c r="F170" s="92"/>
      <c r="G170" s="33"/>
    </row>
    <row r="171" spans="1:7" ht="15">
      <c r="A171" s="65" t="s">
        <v>214</v>
      </c>
      <c r="B171" s="66" t="s">
        <v>1</v>
      </c>
      <c r="C171" s="67">
        <f>C170*0.3*1.1</f>
        <v>10.7976</v>
      </c>
      <c r="D171" s="77">
        <v>250</v>
      </c>
      <c r="E171" s="69"/>
      <c r="F171" s="70">
        <f>C171*D171</f>
        <v>2699.3999999999996</v>
      </c>
      <c r="G171" s="34"/>
    </row>
    <row r="172" spans="1:7" ht="15">
      <c r="A172" s="65" t="s">
        <v>215</v>
      </c>
      <c r="B172" s="66" t="s">
        <v>117</v>
      </c>
      <c r="C172" s="71">
        <f>C170*0.1</f>
        <v>3.2720000000000002</v>
      </c>
      <c r="D172" s="77">
        <v>120</v>
      </c>
      <c r="E172" s="69"/>
      <c r="F172" s="70">
        <f>C172*D172</f>
        <v>392.64000000000004</v>
      </c>
      <c r="G172" s="34"/>
    </row>
    <row r="173" spans="1:7" ht="15">
      <c r="A173" s="65" t="s">
        <v>118</v>
      </c>
      <c r="B173" s="66" t="s">
        <v>5</v>
      </c>
      <c r="C173" s="73">
        <f>16*0.025*6*0.1</f>
        <v>0.24000000000000005</v>
      </c>
      <c r="D173" s="77">
        <f>D43</f>
        <v>5000</v>
      </c>
      <c r="E173" s="69"/>
      <c r="F173" s="70">
        <f>C173*D173</f>
        <v>1200.0000000000002</v>
      </c>
      <c r="G173" s="34"/>
    </row>
    <row r="174" spans="1:7" ht="15">
      <c r="A174" s="78" t="s">
        <v>156</v>
      </c>
      <c r="B174" s="79" t="s">
        <v>117</v>
      </c>
      <c r="C174" s="71">
        <f>C171*0.4</f>
        <v>4.31904</v>
      </c>
      <c r="D174" s="77">
        <f>D168</f>
        <v>80</v>
      </c>
      <c r="E174" s="80"/>
      <c r="F174" s="70">
        <f>C174*D174</f>
        <v>345.52320000000003</v>
      </c>
      <c r="G174" s="34"/>
    </row>
    <row r="175" spans="1:7" ht="48" customHeight="1">
      <c r="A175" s="42" t="s">
        <v>37</v>
      </c>
      <c r="B175" s="4" t="s">
        <v>9</v>
      </c>
      <c r="C175" s="26">
        <f>(C5+0.3*2)*2</f>
        <v>14.2</v>
      </c>
      <c r="D175" s="11">
        <v>200</v>
      </c>
      <c r="E175" s="22">
        <f>C175*D175</f>
        <v>2840</v>
      </c>
      <c r="F175" s="92"/>
      <c r="G175" s="33"/>
    </row>
    <row r="176" spans="1:7" ht="34.5">
      <c r="A176" s="78" t="s">
        <v>178</v>
      </c>
      <c r="B176" s="79" t="s">
        <v>4</v>
      </c>
      <c r="C176" s="67">
        <v>8</v>
      </c>
      <c r="D176" s="77">
        <v>600</v>
      </c>
      <c r="E176" s="80"/>
      <c r="F176" s="70">
        <f>C176*D176</f>
        <v>4800</v>
      </c>
      <c r="G176" s="40" t="s">
        <v>239</v>
      </c>
    </row>
    <row r="177" spans="1:7" ht="34.5">
      <c r="A177" s="78" t="s">
        <v>240</v>
      </c>
      <c r="B177" s="79" t="s">
        <v>4</v>
      </c>
      <c r="C177" s="67">
        <v>4</v>
      </c>
      <c r="D177" s="77">
        <v>100</v>
      </c>
      <c r="E177" s="80"/>
      <c r="F177" s="70">
        <f>C177*D177</f>
        <v>400</v>
      </c>
      <c r="G177" s="40" t="s">
        <v>239</v>
      </c>
    </row>
    <row r="178" spans="1:7" ht="34.5">
      <c r="A178" s="78" t="s">
        <v>180</v>
      </c>
      <c r="B178" s="79" t="s">
        <v>4</v>
      </c>
      <c r="C178" s="67">
        <f>C175/0.7+2+2</f>
        <v>24.285714285714285</v>
      </c>
      <c r="D178" s="77">
        <v>100</v>
      </c>
      <c r="E178" s="80"/>
      <c r="F178" s="70">
        <f>C178*D178</f>
        <v>2428.5714285714284</v>
      </c>
      <c r="G178" s="40" t="s">
        <v>239</v>
      </c>
    </row>
    <row r="179" spans="1:7" ht="34.5">
      <c r="A179" s="78" t="s">
        <v>181</v>
      </c>
      <c r="B179" s="79" t="s">
        <v>4</v>
      </c>
      <c r="C179" s="67">
        <f>C178*6</f>
        <v>145.71428571428572</v>
      </c>
      <c r="D179" s="85">
        <v>0.5</v>
      </c>
      <c r="E179" s="80"/>
      <c r="F179" s="70">
        <f>C179*D179</f>
        <v>72.85714285714286</v>
      </c>
      <c r="G179" s="40" t="s">
        <v>239</v>
      </c>
    </row>
    <row r="180" spans="1:7" ht="34.5">
      <c r="A180" s="78" t="s">
        <v>182</v>
      </c>
      <c r="B180" s="79" t="s">
        <v>4</v>
      </c>
      <c r="C180" s="67">
        <f>C176+1</f>
        <v>9</v>
      </c>
      <c r="D180" s="77">
        <v>100</v>
      </c>
      <c r="E180" s="80"/>
      <c r="F180" s="70">
        <f>C180*D180</f>
        <v>900</v>
      </c>
      <c r="G180" s="40" t="s">
        <v>239</v>
      </c>
    </row>
    <row r="181" spans="1:7" ht="48" customHeight="1">
      <c r="A181" s="42" t="s">
        <v>38</v>
      </c>
      <c r="B181" s="4" t="s">
        <v>4</v>
      </c>
      <c r="C181" s="26">
        <v>2</v>
      </c>
      <c r="D181" s="11">
        <v>500</v>
      </c>
      <c r="E181" s="22">
        <f>C181*D181</f>
        <v>1000</v>
      </c>
      <c r="F181" s="92"/>
      <c r="G181" s="33"/>
    </row>
    <row r="182" spans="1:7" ht="34.5">
      <c r="A182" s="78" t="s">
        <v>183</v>
      </c>
      <c r="B182" s="79" t="s">
        <v>4</v>
      </c>
      <c r="C182" s="67">
        <f>C181</f>
        <v>2</v>
      </c>
      <c r="D182" s="77">
        <v>1500</v>
      </c>
      <c r="E182" s="80"/>
      <c r="F182" s="70">
        <f aca="true" t="shared" si="2" ref="F182:F187">C182*D182</f>
        <v>3000</v>
      </c>
      <c r="G182" s="40" t="s">
        <v>239</v>
      </c>
    </row>
    <row r="183" spans="1:7" ht="34.5">
      <c r="A183" s="78" t="s">
        <v>184</v>
      </c>
      <c r="B183" s="79" t="s">
        <v>4</v>
      </c>
      <c r="C183" s="67">
        <f>C181*2</f>
        <v>4</v>
      </c>
      <c r="D183" s="77">
        <v>170</v>
      </c>
      <c r="E183" s="80"/>
      <c r="F183" s="70">
        <f t="shared" si="2"/>
        <v>680</v>
      </c>
      <c r="G183" s="40" t="s">
        <v>239</v>
      </c>
    </row>
    <row r="184" spans="1:7" ht="34.5">
      <c r="A184" s="78" t="s">
        <v>185</v>
      </c>
      <c r="B184" s="79" t="s">
        <v>4</v>
      </c>
      <c r="C184" s="67">
        <f>C182</f>
        <v>2</v>
      </c>
      <c r="D184" s="77">
        <v>190</v>
      </c>
      <c r="E184" s="80"/>
      <c r="F184" s="70">
        <f t="shared" si="2"/>
        <v>380</v>
      </c>
      <c r="G184" s="40" t="s">
        <v>239</v>
      </c>
    </row>
    <row r="185" spans="1:7" ht="34.5">
      <c r="A185" s="78" t="s">
        <v>186</v>
      </c>
      <c r="B185" s="79" t="s">
        <v>4</v>
      </c>
      <c r="C185" s="67">
        <f>C181*3</f>
        <v>6</v>
      </c>
      <c r="D185" s="77">
        <v>40</v>
      </c>
      <c r="E185" s="80"/>
      <c r="F185" s="70">
        <f t="shared" si="2"/>
        <v>240</v>
      </c>
      <c r="G185" s="40" t="s">
        <v>239</v>
      </c>
    </row>
    <row r="186" spans="1:7" ht="34.5">
      <c r="A186" s="78" t="s">
        <v>187</v>
      </c>
      <c r="B186" s="79" t="s">
        <v>4</v>
      </c>
      <c r="C186" s="67">
        <f>C181</f>
        <v>2</v>
      </c>
      <c r="D186" s="77">
        <v>750</v>
      </c>
      <c r="E186" s="80"/>
      <c r="F186" s="70">
        <f t="shared" si="2"/>
        <v>1500</v>
      </c>
      <c r="G186" s="40" t="s">
        <v>239</v>
      </c>
    </row>
    <row r="187" spans="1:7" ht="34.5">
      <c r="A187" s="78" t="s">
        <v>241</v>
      </c>
      <c r="B187" s="79" t="s">
        <v>4</v>
      </c>
      <c r="C187" s="67">
        <f>C181/2</f>
        <v>1</v>
      </c>
      <c r="D187" s="77">
        <v>300</v>
      </c>
      <c r="E187" s="80"/>
      <c r="F187" s="70">
        <f t="shared" si="2"/>
        <v>300</v>
      </c>
      <c r="G187" s="40" t="s">
        <v>239</v>
      </c>
    </row>
    <row r="188" spans="1:7" ht="48" customHeight="1">
      <c r="A188" s="16" t="s">
        <v>99</v>
      </c>
      <c r="B188" s="4" t="s">
        <v>4</v>
      </c>
      <c r="C188" s="26">
        <v>2</v>
      </c>
      <c r="D188" s="11">
        <v>400</v>
      </c>
      <c r="E188" s="22">
        <f>C188*D188</f>
        <v>800</v>
      </c>
      <c r="F188" s="92"/>
      <c r="G188" s="33"/>
    </row>
    <row r="189" spans="1:7" ht="29.25" customHeight="1">
      <c r="A189" s="65" t="s">
        <v>150</v>
      </c>
      <c r="B189" s="66" t="s">
        <v>4</v>
      </c>
      <c r="C189" s="67">
        <f>C188/2</f>
        <v>1</v>
      </c>
      <c r="D189" s="68">
        <v>300</v>
      </c>
      <c r="E189" s="69"/>
      <c r="F189" s="70">
        <f>C189*D189</f>
        <v>300</v>
      </c>
      <c r="G189" s="34"/>
    </row>
    <row r="190" spans="1:7" ht="29.25" customHeight="1">
      <c r="A190" s="65" t="s">
        <v>154</v>
      </c>
      <c r="B190" s="66" t="s">
        <v>4</v>
      </c>
      <c r="C190" s="67">
        <f>C188*2</f>
        <v>4</v>
      </c>
      <c r="D190" s="77">
        <f>D58</f>
        <v>1.5</v>
      </c>
      <c r="E190" s="69"/>
      <c r="F190" s="70">
        <f>C190*D190</f>
        <v>6</v>
      </c>
      <c r="G190" s="34"/>
    </row>
    <row r="191" spans="1:7" ht="29.25" customHeight="1">
      <c r="A191" s="65" t="s">
        <v>155</v>
      </c>
      <c r="B191" s="66" t="s">
        <v>4</v>
      </c>
      <c r="C191" s="67">
        <f>C190*2</f>
        <v>8</v>
      </c>
      <c r="D191" s="77">
        <f>D59</f>
        <v>1</v>
      </c>
      <c r="E191" s="69"/>
      <c r="F191" s="70">
        <f>C191*D191</f>
        <v>8</v>
      </c>
      <c r="G191" s="34"/>
    </row>
    <row r="192" spans="1:7" ht="30" customHeight="1">
      <c r="A192" s="16" t="s">
        <v>102</v>
      </c>
      <c r="B192" s="4" t="s">
        <v>1</v>
      </c>
      <c r="C192" s="28">
        <f>(C188+1)*C16*(0.1*4)</f>
        <v>2.5200000000000005</v>
      </c>
      <c r="D192" s="41">
        <v>300</v>
      </c>
      <c r="E192" s="22">
        <f>C192*D192</f>
        <v>756.0000000000001</v>
      </c>
      <c r="F192" s="92"/>
      <c r="G192" s="33"/>
    </row>
    <row r="193" spans="1:7" ht="30">
      <c r="A193" s="16" t="s">
        <v>100</v>
      </c>
      <c r="B193" s="4" t="s">
        <v>0</v>
      </c>
      <c r="C193" s="28">
        <f>C101+C102-1</f>
        <v>5.76</v>
      </c>
      <c r="D193" s="41">
        <v>100</v>
      </c>
      <c r="E193" s="22">
        <f>C193*D193</f>
        <v>576</v>
      </c>
      <c r="F193" s="92"/>
      <c r="G193" s="33"/>
    </row>
    <row r="194" spans="1:7" ht="29.25" customHeight="1">
      <c r="A194" s="65" t="s">
        <v>242</v>
      </c>
      <c r="B194" s="66" t="s">
        <v>4</v>
      </c>
      <c r="C194" s="67">
        <v>1</v>
      </c>
      <c r="D194" s="68">
        <v>200</v>
      </c>
      <c r="E194" s="69"/>
      <c r="F194" s="70">
        <f>C194*D194</f>
        <v>200</v>
      </c>
      <c r="G194" s="34"/>
    </row>
    <row r="195" spans="1:7" ht="30">
      <c r="A195" s="16" t="s">
        <v>101</v>
      </c>
      <c r="B195" s="4" t="s">
        <v>4</v>
      </c>
      <c r="C195" s="26">
        <f>C193*3</f>
        <v>17.28</v>
      </c>
      <c r="D195" s="41">
        <v>80</v>
      </c>
      <c r="E195" s="22">
        <f>C195*D195</f>
        <v>1382.4</v>
      </c>
      <c r="F195" s="92"/>
      <c r="G195" s="33"/>
    </row>
    <row r="196" spans="1:7" ht="20.25" customHeight="1">
      <c r="A196" s="65" t="s">
        <v>244</v>
      </c>
      <c r="B196" s="66" t="s">
        <v>4</v>
      </c>
      <c r="C196" s="67">
        <v>8</v>
      </c>
      <c r="D196" s="68">
        <v>40</v>
      </c>
      <c r="E196" s="69"/>
      <c r="F196" s="70">
        <f>C196*D196</f>
        <v>320</v>
      </c>
      <c r="G196" s="34"/>
    </row>
    <row r="197" spans="1:7" ht="18" customHeight="1">
      <c r="A197" s="65" t="s">
        <v>245</v>
      </c>
      <c r="B197" s="66" t="s">
        <v>117</v>
      </c>
      <c r="C197" s="71">
        <v>0.5</v>
      </c>
      <c r="D197" s="68">
        <v>80</v>
      </c>
      <c r="E197" s="69"/>
      <c r="F197" s="70">
        <f>C197*D197</f>
        <v>40</v>
      </c>
      <c r="G197" s="34"/>
    </row>
    <row r="198" spans="1:7" ht="33.75" customHeight="1">
      <c r="A198" s="42" t="s">
        <v>103</v>
      </c>
      <c r="B198" s="4" t="s">
        <v>4</v>
      </c>
      <c r="C198" s="15">
        <v>3</v>
      </c>
      <c r="D198" s="11">
        <v>400</v>
      </c>
      <c r="E198" s="22">
        <f>C198*D198</f>
        <v>1200</v>
      </c>
      <c r="F198" s="92"/>
      <c r="G198" s="33" t="s">
        <v>66</v>
      </c>
    </row>
    <row r="199" spans="1:7" ht="29.25" customHeight="1">
      <c r="A199" s="65" t="s">
        <v>247</v>
      </c>
      <c r="B199" s="66" t="s">
        <v>4</v>
      </c>
      <c r="C199" s="67">
        <v>2</v>
      </c>
      <c r="D199" s="68">
        <v>400</v>
      </c>
      <c r="E199" s="69"/>
      <c r="F199" s="70">
        <f>C199*D199</f>
        <v>800</v>
      </c>
      <c r="G199" s="34"/>
    </row>
    <row r="200" spans="1:7" ht="43.5" customHeight="1">
      <c r="A200" s="42"/>
      <c r="B200" s="4"/>
      <c r="C200" s="15"/>
      <c r="D200" s="11"/>
      <c r="E200" s="22">
        <f>C200*D200</f>
        <v>0</v>
      </c>
      <c r="F200" s="93"/>
      <c r="G200" s="81"/>
    </row>
    <row r="201" spans="1:7" ht="41.25" customHeight="1" thickBot="1">
      <c r="A201" s="42"/>
      <c r="B201" s="4"/>
      <c r="C201" s="15"/>
      <c r="D201" s="11"/>
      <c r="E201" s="22">
        <f>C201*D201</f>
        <v>0</v>
      </c>
      <c r="F201" s="93"/>
      <c r="G201" s="81"/>
    </row>
    <row r="202" spans="1:7" ht="15.75" thickBot="1">
      <c r="A202" s="12" t="s">
        <v>10</v>
      </c>
      <c r="B202" s="13"/>
      <c r="C202" s="1"/>
      <c r="D202" s="31"/>
      <c r="E202" s="35">
        <f>SUM(E5:E201)</f>
        <v>162201.61</v>
      </c>
      <c r="F202" s="74">
        <f>SUM(F5:F201)</f>
        <v>204281.47035984963</v>
      </c>
      <c r="G202" s="91"/>
    </row>
    <row r="203" spans="1:6" ht="21.75" thickBot="1">
      <c r="A203" s="146" t="s">
        <v>108</v>
      </c>
      <c r="B203" s="147"/>
      <c r="C203" s="147"/>
      <c r="D203" s="147"/>
      <c r="E203" s="147"/>
      <c r="F203" s="147"/>
    </row>
    <row r="204" spans="1:6" ht="45">
      <c r="A204" s="45" t="s">
        <v>108</v>
      </c>
      <c r="B204" s="46" t="s">
        <v>109</v>
      </c>
      <c r="C204" s="47" t="s">
        <v>110</v>
      </c>
      <c r="D204" s="47" t="s">
        <v>111</v>
      </c>
      <c r="E204" s="46"/>
      <c r="F204" s="48" t="s">
        <v>112</v>
      </c>
    </row>
    <row r="205" spans="1:6" ht="15">
      <c r="A205" s="140" t="s">
        <v>113</v>
      </c>
      <c r="B205" s="141"/>
      <c r="C205" s="141"/>
      <c r="D205" s="141"/>
      <c r="E205" s="141"/>
      <c r="F205" s="142"/>
    </row>
    <row r="206" spans="1:6" ht="15">
      <c r="A206" s="49" t="s">
        <v>194</v>
      </c>
      <c r="B206" s="7" t="s">
        <v>1</v>
      </c>
      <c r="C206" s="53">
        <f>C8</f>
        <v>15.880000000000003</v>
      </c>
      <c r="D206" s="7">
        <v>15</v>
      </c>
      <c r="E206" s="7"/>
      <c r="F206" s="51">
        <f>C206*D206</f>
        <v>238.20000000000005</v>
      </c>
    </row>
    <row r="207" spans="1:6" ht="30">
      <c r="A207" s="49" t="s">
        <v>196</v>
      </c>
      <c r="B207" s="7" t="s">
        <v>4</v>
      </c>
      <c r="C207" s="53">
        <f>C10+C15</f>
        <v>12.9</v>
      </c>
      <c r="D207" s="7">
        <v>150</v>
      </c>
      <c r="E207" s="7"/>
      <c r="F207" s="51">
        <f>C207*D207</f>
        <v>1935</v>
      </c>
    </row>
    <row r="208" spans="1:6" ht="15">
      <c r="A208" s="49" t="s">
        <v>114</v>
      </c>
      <c r="B208" s="7" t="s">
        <v>4</v>
      </c>
      <c r="C208" s="53">
        <f>C114+C136</f>
        <v>30</v>
      </c>
      <c r="D208" s="7">
        <v>20</v>
      </c>
      <c r="E208" s="7"/>
      <c r="F208" s="51">
        <f>C208*D208</f>
        <v>600</v>
      </c>
    </row>
    <row r="209" spans="1:6" ht="15">
      <c r="A209" s="49" t="s">
        <v>115</v>
      </c>
      <c r="B209" s="7" t="s">
        <v>1</v>
      </c>
      <c r="C209" s="53">
        <f>C61+C88+C115+C137+C171</f>
        <v>63.06685</v>
      </c>
      <c r="D209" s="50">
        <v>250</v>
      </c>
      <c r="E209" s="7"/>
      <c r="F209" s="51">
        <f aca="true" t="shared" si="3" ref="F209:F290">C209*D209</f>
        <v>15766.712500000001</v>
      </c>
    </row>
    <row r="210" spans="1:6" ht="15">
      <c r="A210" s="49" t="s">
        <v>116</v>
      </c>
      <c r="B210" s="7" t="s">
        <v>117</v>
      </c>
      <c r="C210" s="53">
        <f>C62+C74+C89+C116+C138+C172</f>
        <v>11.971750000000002</v>
      </c>
      <c r="D210" s="50">
        <v>120</v>
      </c>
      <c r="E210" s="7"/>
      <c r="F210" s="51">
        <f t="shared" si="3"/>
        <v>1436.6100000000001</v>
      </c>
    </row>
    <row r="211" spans="1:6" ht="15">
      <c r="A211" s="49" t="s">
        <v>200</v>
      </c>
      <c r="B211" s="7" t="s">
        <v>5</v>
      </c>
      <c r="C211" s="105">
        <f>C30+C156</f>
        <v>0.6415200000000001</v>
      </c>
      <c r="D211" s="50">
        <v>5000</v>
      </c>
      <c r="E211" s="7"/>
      <c r="F211" s="51">
        <f>C211*D211</f>
        <v>3207.6000000000004</v>
      </c>
    </row>
    <row r="212" spans="1:6" ht="15">
      <c r="A212" s="49" t="s">
        <v>201</v>
      </c>
      <c r="B212" s="7" t="s">
        <v>5</v>
      </c>
      <c r="C212" s="61">
        <f>C43+C173</f>
        <v>0.87559375</v>
      </c>
      <c r="D212" s="50">
        <v>5000</v>
      </c>
      <c r="E212" s="7"/>
      <c r="F212" s="51">
        <f t="shared" si="3"/>
        <v>4377.96875</v>
      </c>
    </row>
    <row r="213" spans="1:6" ht="15">
      <c r="A213" s="49" t="s">
        <v>119</v>
      </c>
      <c r="B213" s="7" t="s">
        <v>117</v>
      </c>
      <c r="C213" s="61">
        <f>C44+C53</f>
        <v>5.904999999999999</v>
      </c>
      <c r="D213" s="50">
        <v>80</v>
      </c>
      <c r="E213" s="7"/>
      <c r="F213" s="51">
        <f t="shared" si="3"/>
        <v>472.4</v>
      </c>
    </row>
    <row r="214" spans="1:6" ht="15">
      <c r="A214" s="49" t="s">
        <v>246</v>
      </c>
      <c r="B214" s="7" t="s">
        <v>117</v>
      </c>
      <c r="C214" s="61">
        <f>C197</f>
        <v>0.5</v>
      </c>
      <c r="D214" s="50">
        <v>80</v>
      </c>
      <c r="E214" s="7"/>
      <c r="F214" s="51">
        <f>C214*D214</f>
        <v>40</v>
      </c>
    </row>
    <row r="215" spans="1:6" ht="15">
      <c r="A215" s="49" t="s">
        <v>120</v>
      </c>
      <c r="B215" s="7" t="s">
        <v>121</v>
      </c>
      <c r="C215" s="61">
        <f>C46</f>
        <v>9.245</v>
      </c>
      <c r="D215" s="50">
        <v>100</v>
      </c>
      <c r="E215" s="7"/>
      <c r="F215" s="51">
        <f t="shared" si="3"/>
        <v>924.4999999999999</v>
      </c>
    </row>
    <row r="216" spans="1:6" ht="15">
      <c r="A216" s="49" t="s">
        <v>122</v>
      </c>
      <c r="B216" s="7" t="s">
        <v>1</v>
      </c>
      <c r="C216" s="53">
        <f>C48+C69</f>
        <v>49.637499999999996</v>
      </c>
      <c r="D216" s="50">
        <v>120</v>
      </c>
      <c r="E216" s="7"/>
      <c r="F216" s="51">
        <f t="shared" si="3"/>
        <v>5956.499999999999</v>
      </c>
    </row>
    <row r="217" spans="1:6" ht="15">
      <c r="A217" s="52" t="s">
        <v>123</v>
      </c>
      <c r="B217" s="7" t="s">
        <v>1</v>
      </c>
      <c r="C217" s="53">
        <v>0</v>
      </c>
      <c r="D217" s="54">
        <v>174</v>
      </c>
      <c r="E217" s="7"/>
      <c r="F217" s="51">
        <f t="shared" si="3"/>
        <v>0</v>
      </c>
    </row>
    <row r="218" spans="1:6" ht="30">
      <c r="A218" s="49" t="s">
        <v>124</v>
      </c>
      <c r="B218" s="7" t="s">
        <v>1</v>
      </c>
      <c r="C218" s="53">
        <f>C49+C63+C90</f>
        <v>95.46074999999999</v>
      </c>
      <c r="D218" s="50">
        <v>18</v>
      </c>
      <c r="E218" s="7"/>
      <c r="F218" s="51">
        <f t="shared" si="3"/>
        <v>1718.2934999999998</v>
      </c>
    </row>
    <row r="219" spans="1:6" ht="15">
      <c r="A219" s="49" t="s">
        <v>125</v>
      </c>
      <c r="B219" s="7" t="s">
        <v>126</v>
      </c>
      <c r="C219" s="61">
        <f>C50+C64+C77+C91</f>
        <v>1.41316175</v>
      </c>
      <c r="D219" s="50">
        <v>40</v>
      </c>
      <c r="E219" s="7"/>
      <c r="F219" s="51">
        <f t="shared" si="3"/>
        <v>56.52647</v>
      </c>
    </row>
    <row r="220" spans="1:6" ht="15">
      <c r="A220" s="49" t="s">
        <v>209</v>
      </c>
      <c r="B220" s="7" t="s">
        <v>5</v>
      </c>
      <c r="C220" s="105">
        <f>C52</f>
        <v>1.2324262500000003</v>
      </c>
      <c r="D220" s="50">
        <v>10000</v>
      </c>
      <c r="E220" s="7"/>
      <c r="F220" s="51">
        <f t="shared" si="3"/>
        <v>12324.262500000003</v>
      </c>
    </row>
    <row r="221" spans="1:6" ht="30">
      <c r="A221" s="49" t="s">
        <v>211</v>
      </c>
      <c r="B221" s="7" t="s">
        <v>5</v>
      </c>
      <c r="C221" s="105">
        <f>C54</f>
        <v>0.6072</v>
      </c>
      <c r="D221" s="50">
        <v>8000</v>
      </c>
      <c r="E221" s="7"/>
      <c r="F221" s="51">
        <f>C221*D221</f>
        <v>4857.599999999999</v>
      </c>
    </row>
    <row r="222" spans="1:7" ht="15" customHeight="1">
      <c r="A222" s="52" t="s">
        <v>248</v>
      </c>
      <c r="B222" s="7" t="s">
        <v>4</v>
      </c>
      <c r="C222" s="53">
        <f>C199</f>
        <v>2</v>
      </c>
      <c r="D222" s="57">
        <v>400</v>
      </c>
      <c r="E222" s="58"/>
      <c r="F222" s="55">
        <f>C222*D222</f>
        <v>800</v>
      </c>
      <c r="G222" s="59"/>
    </row>
    <row r="223" spans="1:7" ht="15" customHeight="1">
      <c r="A223" s="52" t="s">
        <v>243</v>
      </c>
      <c r="B223" s="7" t="s">
        <v>4</v>
      </c>
      <c r="C223" s="53">
        <f>C194</f>
        <v>1</v>
      </c>
      <c r="D223" s="57">
        <v>200</v>
      </c>
      <c r="E223" s="58"/>
      <c r="F223" s="55">
        <f>C223*D223</f>
        <v>200</v>
      </c>
      <c r="G223" s="59"/>
    </row>
    <row r="224" spans="1:7" ht="15" customHeight="1">
      <c r="A224" s="52" t="s">
        <v>244</v>
      </c>
      <c r="B224" s="7" t="s">
        <v>4</v>
      </c>
      <c r="C224" s="53">
        <f>C196</f>
        <v>8</v>
      </c>
      <c r="D224" s="57">
        <v>40</v>
      </c>
      <c r="E224" s="58"/>
      <c r="F224" s="55">
        <f>C224*D224</f>
        <v>320</v>
      </c>
      <c r="G224" s="59"/>
    </row>
    <row r="225" spans="1:6" ht="15">
      <c r="A225" s="49" t="s">
        <v>127</v>
      </c>
      <c r="B225" s="7" t="s">
        <v>1</v>
      </c>
      <c r="C225" s="53">
        <f>C66+C75</f>
        <v>18.084000000000003</v>
      </c>
      <c r="D225" s="50">
        <v>60</v>
      </c>
      <c r="E225" s="7"/>
      <c r="F225" s="51">
        <f t="shared" si="3"/>
        <v>1085.0400000000002</v>
      </c>
    </row>
    <row r="226" spans="1:6" ht="30">
      <c r="A226" s="52" t="s">
        <v>128</v>
      </c>
      <c r="B226" s="7" t="s">
        <v>129</v>
      </c>
      <c r="C226" s="53">
        <f>C67+C76</f>
        <v>3</v>
      </c>
      <c r="D226" s="50">
        <v>50</v>
      </c>
      <c r="E226" s="7"/>
      <c r="F226" s="51">
        <f t="shared" si="3"/>
        <v>150</v>
      </c>
    </row>
    <row r="227" spans="1:6" ht="30">
      <c r="A227" s="52" t="s">
        <v>212</v>
      </c>
      <c r="B227" s="7" t="s">
        <v>4</v>
      </c>
      <c r="C227" s="53">
        <f>C65</f>
        <v>25.157894736842106</v>
      </c>
      <c r="D227" s="50">
        <f>D65</f>
        <v>140</v>
      </c>
      <c r="E227" s="7"/>
      <c r="F227" s="51">
        <f t="shared" si="3"/>
        <v>3522.105263157895</v>
      </c>
    </row>
    <row r="228" spans="1:6" ht="30">
      <c r="A228" s="52" t="s">
        <v>130</v>
      </c>
      <c r="B228" s="7" t="s">
        <v>4</v>
      </c>
      <c r="C228" s="53">
        <f>C73</f>
        <v>88.42105263157895</v>
      </c>
      <c r="D228" s="53">
        <v>154</v>
      </c>
      <c r="E228" s="7"/>
      <c r="F228" s="51">
        <f t="shared" si="3"/>
        <v>13616.842105263158</v>
      </c>
    </row>
    <row r="229" spans="1:6" ht="15">
      <c r="A229" s="49" t="s">
        <v>131</v>
      </c>
      <c r="B229" s="7" t="s">
        <v>4</v>
      </c>
      <c r="C229" s="53">
        <f>C81</f>
        <v>7</v>
      </c>
      <c r="D229" s="50">
        <v>260</v>
      </c>
      <c r="E229" s="7"/>
      <c r="F229" s="55">
        <f t="shared" si="3"/>
        <v>1820</v>
      </c>
    </row>
    <row r="230" spans="1:6" ht="15">
      <c r="A230" s="49" t="s">
        <v>132</v>
      </c>
      <c r="B230" s="7" t="s">
        <v>4</v>
      </c>
      <c r="C230" s="53">
        <f>C82</f>
        <v>14</v>
      </c>
      <c r="D230" s="50">
        <v>195</v>
      </c>
      <c r="E230" s="7"/>
      <c r="F230" s="55">
        <f t="shared" si="3"/>
        <v>2730</v>
      </c>
    </row>
    <row r="231" spans="1:6" ht="30">
      <c r="A231" s="56" t="s">
        <v>133</v>
      </c>
      <c r="B231" s="7" t="s">
        <v>4</v>
      </c>
      <c r="C231" s="53">
        <f>C83</f>
        <v>12</v>
      </c>
      <c r="D231" s="50">
        <v>105</v>
      </c>
      <c r="E231" s="7"/>
      <c r="F231" s="55">
        <f t="shared" si="3"/>
        <v>1260</v>
      </c>
    </row>
    <row r="232" spans="1:6" ht="15">
      <c r="A232" s="56" t="s">
        <v>134</v>
      </c>
      <c r="B232" s="7" t="s">
        <v>117</v>
      </c>
      <c r="C232" s="61">
        <f>C84</f>
        <v>0.5</v>
      </c>
      <c r="D232" s="50">
        <v>120</v>
      </c>
      <c r="E232" s="7"/>
      <c r="F232" s="55">
        <f t="shared" si="3"/>
        <v>60</v>
      </c>
    </row>
    <row r="233" spans="1:6" ht="15">
      <c r="A233" s="52" t="s">
        <v>227</v>
      </c>
      <c r="B233" s="7" t="s">
        <v>136</v>
      </c>
      <c r="C233" s="53">
        <f>C93+C100+C104+C108</f>
        <v>60.522</v>
      </c>
      <c r="D233" s="54">
        <v>20</v>
      </c>
      <c r="E233" s="7"/>
      <c r="F233" s="51">
        <f>C233*D233</f>
        <v>1210.44</v>
      </c>
    </row>
    <row r="234" spans="1:6" ht="15">
      <c r="A234" s="52" t="s">
        <v>135</v>
      </c>
      <c r="B234" s="7" t="s">
        <v>136</v>
      </c>
      <c r="C234" s="53">
        <f>C79</f>
        <v>25.520000000000007</v>
      </c>
      <c r="D234" s="54">
        <v>60</v>
      </c>
      <c r="E234" s="7"/>
      <c r="F234" s="51">
        <f t="shared" si="3"/>
        <v>1531.2000000000005</v>
      </c>
    </row>
    <row r="235" spans="1:6" ht="15">
      <c r="A235" s="52" t="s">
        <v>249</v>
      </c>
      <c r="B235" s="7" t="s">
        <v>136</v>
      </c>
      <c r="C235" s="53">
        <f>C110+C130+C142</f>
        <v>22</v>
      </c>
      <c r="D235" s="54">
        <v>14</v>
      </c>
      <c r="E235" s="7"/>
      <c r="F235" s="55">
        <f t="shared" si="3"/>
        <v>308</v>
      </c>
    </row>
    <row r="236" spans="1:6" ht="15">
      <c r="A236" s="52" t="s">
        <v>138</v>
      </c>
      <c r="B236" s="7" t="s">
        <v>4</v>
      </c>
      <c r="C236" s="53">
        <f>C112</f>
        <v>1</v>
      </c>
      <c r="D236" s="54">
        <v>2500</v>
      </c>
      <c r="E236" s="7"/>
      <c r="F236" s="55">
        <f t="shared" si="3"/>
        <v>2500</v>
      </c>
    </row>
    <row r="237" spans="1:6" ht="15">
      <c r="A237" s="52" t="s">
        <v>139</v>
      </c>
      <c r="B237" s="7" t="s">
        <v>4</v>
      </c>
      <c r="C237" s="53">
        <f>C118</f>
        <v>1</v>
      </c>
      <c r="D237" s="54">
        <v>600</v>
      </c>
      <c r="E237" s="7"/>
      <c r="F237" s="55">
        <f t="shared" si="3"/>
        <v>600</v>
      </c>
    </row>
    <row r="238" spans="1:6" ht="15">
      <c r="A238" s="52" t="s">
        <v>140</v>
      </c>
      <c r="B238" s="7" t="s">
        <v>4</v>
      </c>
      <c r="C238" s="53">
        <v>0</v>
      </c>
      <c r="D238" s="54">
        <v>100</v>
      </c>
      <c r="E238" s="7"/>
      <c r="F238" s="55">
        <f t="shared" si="3"/>
        <v>0</v>
      </c>
    </row>
    <row r="239" spans="1:6" ht="15">
      <c r="A239" s="52" t="s">
        <v>141</v>
      </c>
      <c r="B239" s="7" t="s">
        <v>0</v>
      </c>
      <c r="C239" s="53">
        <v>0</v>
      </c>
      <c r="D239" s="54">
        <v>5</v>
      </c>
      <c r="E239" s="7"/>
      <c r="F239" s="55">
        <f t="shared" si="3"/>
        <v>0</v>
      </c>
    </row>
    <row r="240" spans="1:6" ht="15">
      <c r="A240" s="52" t="s">
        <v>142</v>
      </c>
      <c r="B240" s="7" t="s">
        <v>117</v>
      </c>
      <c r="C240" s="53">
        <v>0</v>
      </c>
      <c r="D240" s="54">
        <v>100</v>
      </c>
      <c r="E240" s="7"/>
      <c r="F240" s="55">
        <f t="shared" si="3"/>
        <v>0</v>
      </c>
    </row>
    <row r="241" spans="1:6" ht="15">
      <c r="A241" s="52" t="s">
        <v>143</v>
      </c>
      <c r="B241" s="7" t="s">
        <v>4</v>
      </c>
      <c r="C241" s="53">
        <f>C124</f>
        <v>3</v>
      </c>
      <c r="D241" s="54">
        <v>1000</v>
      </c>
      <c r="E241" s="7"/>
      <c r="F241" s="55">
        <f t="shared" si="3"/>
        <v>3000</v>
      </c>
    </row>
    <row r="242" spans="1:6" ht="15">
      <c r="A242" s="52" t="s">
        <v>203</v>
      </c>
      <c r="B242" s="7" t="s">
        <v>0</v>
      </c>
      <c r="C242" s="53">
        <f>C32</f>
        <v>27</v>
      </c>
      <c r="D242" s="54">
        <v>100</v>
      </c>
      <c r="E242" s="7"/>
      <c r="F242" s="55">
        <f>C242*D242</f>
        <v>2700</v>
      </c>
    </row>
    <row r="243" spans="1:6" ht="15">
      <c r="A243" s="52" t="s">
        <v>231</v>
      </c>
      <c r="B243" s="7" t="s">
        <v>4</v>
      </c>
      <c r="C243" s="53">
        <f>C120</f>
        <v>1</v>
      </c>
      <c r="D243" s="54">
        <v>130</v>
      </c>
      <c r="E243" s="7"/>
      <c r="F243" s="55">
        <f>C243*D243</f>
        <v>130</v>
      </c>
    </row>
    <row r="244" spans="1:6" ht="15">
      <c r="A244" s="52" t="s">
        <v>144</v>
      </c>
      <c r="B244" s="7" t="s">
        <v>4</v>
      </c>
      <c r="C244" s="53">
        <f>C128</f>
        <v>2</v>
      </c>
      <c r="D244" s="54">
        <v>100</v>
      </c>
      <c r="E244" s="7"/>
      <c r="F244" s="55">
        <f t="shared" si="3"/>
        <v>200</v>
      </c>
    </row>
    <row r="245" spans="1:6" ht="15">
      <c r="A245" s="52" t="s">
        <v>145</v>
      </c>
      <c r="B245" s="7" t="s">
        <v>4</v>
      </c>
      <c r="C245" s="53">
        <f>C132</f>
        <v>1</v>
      </c>
      <c r="D245" s="54">
        <v>5500</v>
      </c>
      <c r="E245" s="7"/>
      <c r="F245" s="55">
        <f t="shared" si="3"/>
        <v>5500</v>
      </c>
    </row>
    <row r="246" spans="1:6" ht="15">
      <c r="A246" s="52" t="s">
        <v>146</v>
      </c>
      <c r="B246" s="7" t="s">
        <v>4</v>
      </c>
      <c r="C246" s="53">
        <f>C133</f>
        <v>3</v>
      </c>
      <c r="D246" s="54">
        <v>2500</v>
      </c>
      <c r="E246" s="7"/>
      <c r="F246" s="55">
        <f t="shared" si="3"/>
        <v>7500</v>
      </c>
    </row>
    <row r="247" spans="1:6" ht="15">
      <c r="A247" s="52" t="s">
        <v>147</v>
      </c>
      <c r="B247" s="7" t="s">
        <v>4</v>
      </c>
      <c r="C247" s="53">
        <f>C11+C134</f>
        <v>8</v>
      </c>
      <c r="D247" s="54">
        <v>200</v>
      </c>
      <c r="E247" s="7"/>
      <c r="F247" s="55">
        <f t="shared" si="3"/>
        <v>1600</v>
      </c>
    </row>
    <row r="248" spans="1:6" ht="15">
      <c r="A248" s="52" t="s">
        <v>189</v>
      </c>
      <c r="B248" s="7" t="s">
        <v>4</v>
      </c>
      <c r="C248" s="53">
        <f>C9</f>
        <v>9</v>
      </c>
      <c r="D248" s="54">
        <v>1200</v>
      </c>
      <c r="E248" s="7"/>
      <c r="F248" s="55">
        <f>C248*D248</f>
        <v>10800</v>
      </c>
    </row>
    <row r="249" spans="1:6" ht="15">
      <c r="A249" s="52" t="s">
        <v>148</v>
      </c>
      <c r="B249" s="7" t="s">
        <v>4</v>
      </c>
      <c r="C249" s="53">
        <v>0</v>
      </c>
      <c r="D249" s="54">
        <v>225</v>
      </c>
      <c r="E249" s="7"/>
      <c r="F249" s="55">
        <f t="shared" si="3"/>
        <v>0</v>
      </c>
    </row>
    <row r="250" spans="1:6" ht="15">
      <c r="A250" s="52" t="s">
        <v>149</v>
      </c>
      <c r="B250" s="7" t="s">
        <v>4</v>
      </c>
      <c r="C250" s="53">
        <f>C34+C57</f>
        <v>9</v>
      </c>
      <c r="D250" s="54">
        <v>450</v>
      </c>
      <c r="E250" s="7"/>
      <c r="F250" s="55">
        <f t="shared" si="3"/>
        <v>4050</v>
      </c>
    </row>
    <row r="251" spans="1:7" ht="15" customHeight="1">
      <c r="A251" s="52" t="s">
        <v>150</v>
      </c>
      <c r="B251" s="7" t="s">
        <v>4</v>
      </c>
      <c r="C251" s="53">
        <f>C189</f>
        <v>1</v>
      </c>
      <c r="D251" s="54">
        <v>300</v>
      </c>
      <c r="E251" s="58"/>
      <c r="F251" s="55">
        <f t="shared" si="3"/>
        <v>300</v>
      </c>
      <c r="G251" s="59"/>
    </row>
    <row r="252" spans="1:7" ht="15" customHeight="1">
      <c r="A252" s="52" t="s">
        <v>151</v>
      </c>
      <c r="B252" s="7" t="s">
        <v>4</v>
      </c>
      <c r="C252" s="53">
        <f>C167</f>
        <v>6</v>
      </c>
      <c r="D252" s="57">
        <v>225</v>
      </c>
      <c r="E252" s="58"/>
      <c r="F252" s="55">
        <f t="shared" si="3"/>
        <v>1350</v>
      </c>
      <c r="G252" s="59"/>
    </row>
    <row r="253" spans="1:6" ht="15">
      <c r="A253" s="52" t="s">
        <v>152</v>
      </c>
      <c r="B253" s="7" t="s">
        <v>4</v>
      </c>
      <c r="C253" s="53">
        <f>C35</f>
        <v>4</v>
      </c>
      <c r="D253" s="54">
        <v>170</v>
      </c>
      <c r="E253" s="7"/>
      <c r="F253" s="55">
        <f t="shared" si="3"/>
        <v>680</v>
      </c>
    </row>
    <row r="254" spans="1:6" ht="15">
      <c r="A254" s="52" t="s">
        <v>153</v>
      </c>
      <c r="B254" s="7" t="s">
        <v>4</v>
      </c>
      <c r="C254" s="53">
        <f>C36</f>
        <v>32</v>
      </c>
      <c r="D254" s="54">
        <v>4</v>
      </c>
      <c r="E254" s="7"/>
      <c r="F254" s="55">
        <f t="shared" si="3"/>
        <v>128</v>
      </c>
    </row>
    <row r="255" spans="1:6" ht="30">
      <c r="A255" s="52" t="s">
        <v>225</v>
      </c>
      <c r="B255" s="7" t="s">
        <v>4</v>
      </c>
      <c r="C255" s="53">
        <f>C97</f>
        <v>3</v>
      </c>
      <c r="D255" s="54">
        <v>50</v>
      </c>
      <c r="E255" s="7"/>
      <c r="F255" s="55">
        <f t="shared" si="3"/>
        <v>150</v>
      </c>
    </row>
    <row r="256" spans="1:6" ht="30">
      <c r="A256" s="52" t="s">
        <v>226</v>
      </c>
      <c r="B256" s="7" t="s">
        <v>4</v>
      </c>
      <c r="C256" s="53">
        <f>C98</f>
        <v>3</v>
      </c>
      <c r="D256" s="54">
        <v>50</v>
      </c>
      <c r="E256" s="7"/>
      <c r="F256" s="55">
        <f t="shared" si="3"/>
        <v>150</v>
      </c>
    </row>
    <row r="257" spans="1:6" ht="15">
      <c r="A257" s="52" t="s">
        <v>236</v>
      </c>
      <c r="B257" s="7" t="s">
        <v>1</v>
      </c>
      <c r="C257" s="53">
        <f>C162</f>
        <v>71</v>
      </c>
      <c r="D257" s="57">
        <v>170</v>
      </c>
      <c r="E257" s="7"/>
      <c r="F257" s="55">
        <f>C257*D257</f>
        <v>12070</v>
      </c>
    </row>
    <row r="258" spans="1:6" ht="15">
      <c r="A258" s="52" t="s">
        <v>237</v>
      </c>
      <c r="B258" s="7" t="s">
        <v>0</v>
      </c>
      <c r="C258" s="53">
        <f>C163</f>
        <v>8.1</v>
      </c>
      <c r="D258" s="57">
        <v>200</v>
      </c>
      <c r="E258" s="7"/>
      <c r="F258" s="55">
        <f t="shared" si="3"/>
        <v>1620</v>
      </c>
    </row>
    <row r="259" spans="1:6" ht="15">
      <c r="A259" s="52" t="s">
        <v>250</v>
      </c>
      <c r="B259" s="7" t="s">
        <v>4</v>
      </c>
      <c r="C259" s="53">
        <f>C164</f>
        <v>568</v>
      </c>
      <c r="D259" s="57">
        <v>2</v>
      </c>
      <c r="E259" s="7"/>
      <c r="F259" s="55">
        <f>C259*D259</f>
        <v>1136</v>
      </c>
    </row>
    <row r="260" spans="1:6" ht="15">
      <c r="A260" s="52" t="s">
        <v>154</v>
      </c>
      <c r="B260" s="7" t="s">
        <v>4</v>
      </c>
      <c r="C260" s="53">
        <f>C37+C58+C190</f>
        <v>56.5</v>
      </c>
      <c r="D260" s="54">
        <v>1.5</v>
      </c>
      <c r="E260" s="7"/>
      <c r="F260" s="55">
        <f t="shared" si="3"/>
        <v>84.75</v>
      </c>
    </row>
    <row r="261" spans="1:6" ht="15">
      <c r="A261" s="56" t="s">
        <v>155</v>
      </c>
      <c r="B261" s="60" t="s">
        <v>4</v>
      </c>
      <c r="C261" s="53">
        <f>C38+C59+C191</f>
        <v>113</v>
      </c>
      <c r="D261" s="61">
        <v>1</v>
      </c>
      <c r="E261" s="7"/>
      <c r="F261" s="55">
        <f t="shared" si="3"/>
        <v>113</v>
      </c>
    </row>
    <row r="262" spans="1:6" ht="15">
      <c r="A262" s="56" t="s">
        <v>155</v>
      </c>
      <c r="B262" s="60" t="s">
        <v>117</v>
      </c>
      <c r="C262" s="53">
        <f>C157+C169</f>
        <v>3.43</v>
      </c>
      <c r="D262" s="53">
        <v>80</v>
      </c>
      <c r="E262" s="7"/>
      <c r="F262" s="55">
        <f>C262*D262</f>
        <v>274.40000000000003</v>
      </c>
    </row>
    <row r="263" spans="1:6" ht="15">
      <c r="A263" s="56" t="s">
        <v>210</v>
      </c>
      <c r="B263" s="60" t="s">
        <v>117</v>
      </c>
      <c r="C263" s="61">
        <f>C55</f>
        <v>4.671875</v>
      </c>
      <c r="D263" s="53">
        <v>100</v>
      </c>
      <c r="E263" s="7"/>
      <c r="F263" s="55">
        <f>C263*D263</f>
        <v>467.1875</v>
      </c>
    </row>
    <row r="264" spans="1:6" ht="15">
      <c r="A264" s="56" t="s">
        <v>156</v>
      </c>
      <c r="B264" s="60" t="s">
        <v>117</v>
      </c>
      <c r="C264" s="61">
        <f>C168+C174</f>
        <v>4.605040000000001</v>
      </c>
      <c r="D264" s="62">
        <v>80</v>
      </c>
      <c r="E264" s="7"/>
      <c r="F264" s="51">
        <f t="shared" si="3"/>
        <v>368.4032000000001</v>
      </c>
    </row>
    <row r="265" spans="1:6" ht="15">
      <c r="A265" s="56" t="s">
        <v>206</v>
      </c>
      <c r="B265" s="60" t="s">
        <v>4</v>
      </c>
      <c r="C265" s="53">
        <f>C41</f>
        <v>5</v>
      </c>
      <c r="D265" s="62">
        <v>60</v>
      </c>
      <c r="E265" s="7"/>
      <c r="F265" s="51">
        <f>C265*D265</f>
        <v>300</v>
      </c>
    </row>
    <row r="266" spans="1:6" ht="28.5" customHeight="1">
      <c r="A266" s="52" t="s">
        <v>207</v>
      </c>
      <c r="B266" s="7" t="s">
        <v>5</v>
      </c>
      <c r="C266" s="105">
        <f>C29+C40</f>
        <v>1.5320000000000003</v>
      </c>
      <c r="D266" s="54"/>
      <c r="E266" s="58"/>
      <c r="F266" s="99">
        <f>F29+F40</f>
        <v>7818.000000000001</v>
      </c>
    </row>
    <row r="267" spans="1:6" ht="15">
      <c r="A267" s="140" t="s">
        <v>158</v>
      </c>
      <c r="B267" s="141"/>
      <c r="C267" s="141"/>
      <c r="D267" s="141"/>
      <c r="E267" s="141"/>
      <c r="F267" s="142"/>
    </row>
    <row r="268" spans="1:6" ht="15">
      <c r="A268" s="52" t="s">
        <v>159</v>
      </c>
      <c r="B268" s="7" t="s">
        <v>0</v>
      </c>
      <c r="C268" s="53">
        <v>0</v>
      </c>
      <c r="D268" s="54">
        <v>600</v>
      </c>
      <c r="E268" s="58"/>
      <c r="F268" s="55">
        <f t="shared" si="3"/>
        <v>0</v>
      </c>
    </row>
    <row r="269" spans="1:6" ht="15">
      <c r="A269" s="52" t="s">
        <v>160</v>
      </c>
      <c r="B269" s="7" t="s">
        <v>4</v>
      </c>
      <c r="C269" s="53">
        <v>0</v>
      </c>
      <c r="D269" s="54">
        <v>100</v>
      </c>
      <c r="E269" s="58"/>
      <c r="F269" s="55">
        <f t="shared" si="3"/>
        <v>0</v>
      </c>
    </row>
    <row r="270" spans="1:6" ht="15">
      <c r="A270" s="52" t="s">
        <v>161</v>
      </c>
      <c r="B270" s="7" t="s">
        <v>4</v>
      </c>
      <c r="C270" s="53">
        <v>0</v>
      </c>
      <c r="D270" s="54">
        <v>500</v>
      </c>
      <c r="E270" s="58"/>
      <c r="F270" s="55">
        <f t="shared" si="3"/>
        <v>0</v>
      </c>
    </row>
    <row r="271" spans="1:6" ht="15">
      <c r="A271" s="52" t="s">
        <v>162</v>
      </c>
      <c r="B271" s="7" t="s">
        <v>4</v>
      </c>
      <c r="C271" s="53">
        <v>0</v>
      </c>
      <c r="D271" s="54">
        <v>1000</v>
      </c>
      <c r="E271" s="58"/>
      <c r="F271" s="55">
        <f t="shared" si="3"/>
        <v>0</v>
      </c>
    </row>
    <row r="272" spans="1:6" ht="15">
      <c r="A272" s="52" t="s">
        <v>163</v>
      </c>
      <c r="B272" s="7" t="s">
        <v>0</v>
      </c>
      <c r="C272" s="53">
        <v>0</v>
      </c>
      <c r="D272" s="54">
        <v>300</v>
      </c>
      <c r="E272" s="58"/>
      <c r="F272" s="55">
        <f t="shared" si="3"/>
        <v>0</v>
      </c>
    </row>
    <row r="273" spans="1:6" ht="15">
      <c r="A273" s="52" t="s">
        <v>164</v>
      </c>
      <c r="B273" s="7"/>
      <c r="C273" s="53">
        <v>0</v>
      </c>
      <c r="D273" s="54"/>
      <c r="E273" s="58"/>
      <c r="F273" s="75">
        <f t="shared" si="3"/>
        <v>0</v>
      </c>
    </row>
    <row r="274" spans="1:6" ht="15">
      <c r="A274" s="140" t="s">
        <v>165</v>
      </c>
      <c r="B274" s="141"/>
      <c r="C274" s="141"/>
      <c r="D274" s="141"/>
      <c r="E274" s="141"/>
      <c r="F274" s="142"/>
    </row>
    <row r="275" spans="1:6" ht="15">
      <c r="A275" s="52" t="s">
        <v>166</v>
      </c>
      <c r="B275" s="7" t="s">
        <v>4</v>
      </c>
      <c r="C275" s="53">
        <f>C144</f>
        <v>1</v>
      </c>
      <c r="D275" s="54">
        <v>19000</v>
      </c>
      <c r="E275" s="58"/>
      <c r="F275" s="55">
        <f t="shared" si="3"/>
        <v>19000</v>
      </c>
    </row>
    <row r="276" spans="1:6" ht="15">
      <c r="A276" s="52" t="s">
        <v>167</v>
      </c>
      <c r="B276" s="7" t="s">
        <v>4</v>
      </c>
      <c r="C276" s="53">
        <f aca="true" t="shared" si="4" ref="C276:C284">C145</f>
        <v>50</v>
      </c>
      <c r="D276" s="54">
        <v>40</v>
      </c>
      <c r="E276" s="58"/>
      <c r="F276" s="55">
        <f t="shared" si="3"/>
        <v>2000</v>
      </c>
    </row>
    <row r="277" spans="1:6" ht="30">
      <c r="A277" s="52" t="s">
        <v>168</v>
      </c>
      <c r="B277" s="7" t="s">
        <v>0</v>
      </c>
      <c r="C277" s="53">
        <f t="shared" si="4"/>
        <v>6</v>
      </c>
      <c r="D277" s="54">
        <v>1600</v>
      </c>
      <c r="E277" s="58"/>
      <c r="F277" s="55">
        <f t="shared" si="3"/>
        <v>9600</v>
      </c>
    </row>
    <row r="278" spans="1:6" ht="15">
      <c r="A278" s="52" t="s">
        <v>169</v>
      </c>
      <c r="B278" s="7" t="s">
        <v>4</v>
      </c>
      <c r="C278" s="53">
        <f t="shared" si="4"/>
        <v>1</v>
      </c>
      <c r="D278" s="54">
        <v>700</v>
      </c>
      <c r="E278" s="58"/>
      <c r="F278" s="55">
        <f t="shared" si="3"/>
        <v>700</v>
      </c>
    </row>
    <row r="279" spans="1:6" ht="30">
      <c r="A279" s="52" t="s">
        <v>170</v>
      </c>
      <c r="B279" s="7" t="s">
        <v>4</v>
      </c>
      <c r="C279" s="53">
        <f t="shared" si="4"/>
        <v>1</v>
      </c>
      <c r="D279" s="54">
        <v>1500</v>
      </c>
      <c r="E279" s="58"/>
      <c r="F279" s="55">
        <f t="shared" si="3"/>
        <v>1500</v>
      </c>
    </row>
    <row r="280" spans="1:6" ht="15">
      <c r="A280" s="52" t="s">
        <v>171</v>
      </c>
      <c r="B280" s="7" t="s">
        <v>4</v>
      </c>
      <c r="C280" s="53">
        <f t="shared" si="4"/>
        <v>1</v>
      </c>
      <c r="D280" s="54">
        <v>500</v>
      </c>
      <c r="E280" s="58"/>
      <c r="F280" s="55">
        <f t="shared" si="3"/>
        <v>500</v>
      </c>
    </row>
    <row r="281" spans="1:6" ht="30">
      <c r="A281" s="52" t="s">
        <v>172</v>
      </c>
      <c r="B281" s="7" t="s">
        <v>4</v>
      </c>
      <c r="C281" s="53">
        <f t="shared" si="4"/>
        <v>1</v>
      </c>
      <c r="D281" s="54">
        <v>2500</v>
      </c>
      <c r="E281" s="58"/>
      <c r="F281" s="55">
        <f t="shared" si="3"/>
        <v>2500</v>
      </c>
    </row>
    <row r="282" spans="1:6" ht="15">
      <c r="A282" s="52" t="s">
        <v>173</v>
      </c>
      <c r="B282" s="7" t="s">
        <v>4</v>
      </c>
      <c r="C282" s="53">
        <f t="shared" si="4"/>
        <v>1</v>
      </c>
      <c r="D282" s="54">
        <v>200</v>
      </c>
      <c r="E282" s="58"/>
      <c r="F282" s="55">
        <f t="shared" si="3"/>
        <v>200</v>
      </c>
    </row>
    <row r="283" spans="1:6" ht="15">
      <c r="A283" s="52" t="s">
        <v>174</v>
      </c>
      <c r="B283" s="7" t="s">
        <v>117</v>
      </c>
      <c r="C283" s="53">
        <f t="shared" si="4"/>
        <v>46</v>
      </c>
      <c r="D283" s="54">
        <v>65</v>
      </c>
      <c r="E283" s="58"/>
      <c r="F283" s="55">
        <f t="shared" si="3"/>
        <v>2990</v>
      </c>
    </row>
    <row r="284" spans="1:6" ht="15">
      <c r="A284" s="52" t="s">
        <v>175</v>
      </c>
      <c r="B284" s="7" t="s">
        <v>1</v>
      </c>
      <c r="C284" s="53">
        <f t="shared" si="4"/>
        <v>1</v>
      </c>
      <c r="D284" s="54">
        <v>500</v>
      </c>
      <c r="E284" s="58"/>
      <c r="F284" s="55">
        <f t="shared" si="3"/>
        <v>500</v>
      </c>
    </row>
    <row r="285" spans="1:6" ht="15">
      <c r="A285" s="52" t="s">
        <v>176</v>
      </c>
      <c r="B285" s="7"/>
      <c r="C285" s="57"/>
      <c r="D285" s="54"/>
      <c r="E285" s="58"/>
      <c r="F285" s="82">
        <f>F154</f>
        <v>1974.5</v>
      </c>
    </row>
    <row r="286" spans="1:6" ht="15">
      <c r="A286" s="140" t="s">
        <v>177</v>
      </c>
      <c r="B286" s="141"/>
      <c r="C286" s="141"/>
      <c r="D286" s="141"/>
      <c r="E286" s="141"/>
      <c r="F286" s="142"/>
    </row>
    <row r="287" spans="1:6" ht="15">
      <c r="A287" s="56" t="s">
        <v>178</v>
      </c>
      <c r="B287" s="60" t="s">
        <v>4</v>
      </c>
      <c r="C287" s="53">
        <f>C176</f>
        <v>8</v>
      </c>
      <c r="D287" s="62">
        <v>600</v>
      </c>
      <c r="E287" s="63"/>
      <c r="F287" s="55">
        <f t="shared" si="3"/>
        <v>4800</v>
      </c>
    </row>
    <row r="288" spans="1:6" ht="15">
      <c r="A288" s="56" t="s">
        <v>179</v>
      </c>
      <c r="B288" s="60" t="s">
        <v>4</v>
      </c>
      <c r="C288" s="53">
        <f>C177</f>
        <v>4</v>
      </c>
      <c r="D288" s="62">
        <v>100</v>
      </c>
      <c r="E288" s="63"/>
      <c r="F288" s="55">
        <f t="shared" si="3"/>
        <v>400</v>
      </c>
    </row>
    <row r="289" spans="1:6" ht="15">
      <c r="A289" s="56" t="s">
        <v>180</v>
      </c>
      <c r="B289" s="60" t="s">
        <v>4</v>
      </c>
      <c r="C289" s="53">
        <f>C178</f>
        <v>24.285714285714285</v>
      </c>
      <c r="D289" s="62">
        <v>100</v>
      </c>
      <c r="E289" s="63"/>
      <c r="F289" s="51">
        <f t="shared" si="3"/>
        <v>2428.5714285714284</v>
      </c>
    </row>
    <row r="290" spans="1:6" ht="15">
      <c r="A290" s="56" t="s">
        <v>181</v>
      </c>
      <c r="B290" s="60" t="s">
        <v>4</v>
      </c>
      <c r="C290" s="53">
        <f>C179</f>
        <v>145.71428571428572</v>
      </c>
      <c r="D290" s="64">
        <v>0.5</v>
      </c>
      <c r="E290" s="63"/>
      <c r="F290" s="51">
        <f t="shared" si="3"/>
        <v>72.85714285714286</v>
      </c>
    </row>
    <row r="291" spans="1:6" ht="15">
      <c r="A291" s="56" t="s">
        <v>182</v>
      </c>
      <c r="B291" s="60" t="s">
        <v>4</v>
      </c>
      <c r="C291" s="53">
        <f>C180</f>
        <v>9</v>
      </c>
      <c r="D291" s="62">
        <v>100</v>
      </c>
      <c r="E291" s="63"/>
      <c r="F291" s="55">
        <f aca="true" t="shared" si="5" ref="F291:F296">C291*D291</f>
        <v>900</v>
      </c>
    </row>
    <row r="292" spans="1:6" ht="15">
      <c r="A292" s="56" t="s">
        <v>183</v>
      </c>
      <c r="B292" s="60" t="s">
        <v>4</v>
      </c>
      <c r="C292" s="53">
        <f aca="true" t="shared" si="6" ref="C292:C297">C182</f>
        <v>2</v>
      </c>
      <c r="D292" s="62">
        <v>1500</v>
      </c>
      <c r="E292" s="63"/>
      <c r="F292" s="55">
        <f t="shared" si="5"/>
        <v>3000</v>
      </c>
    </row>
    <row r="293" spans="1:6" ht="15">
      <c r="A293" s="56" t="s">
        <v>184</v>
      </c>
      <c r="B293" s="60" t="s">
        <v>4</v>
      </c>
      <c r="C293" s="53">
        <f t="shared" si="6"/>
        <v>4</v>
      </c>
      <c r="D293" s="62">
        <v>170</v>
      </c>
      <c r="E293" s="63"/>
      <c r="F293" s="55">
        <f t="shared" si="5"/>
        <v>680</v>
      </c>
    </row>
    <row r="294" spans="1:6" ht="15">
      <c r="A294" s="56" t="s">
        <v>185</v>
      </c>
      <c r="B294" s="60" t="s">
        <v>4</v>
      </c>
      <c r="C294" s="53">
        <f t="shared" si="6"/>
        <v>2</v>
      </c>
      <c r="D294" s="62">
        <v>190</v>
      </c>
      <c r="E294" s="63"/>
      <c r="F294" s="55">
        <f t="shared" si="5"/>
        <v>380</v>
      </c>
    </row>
    <row r="295" spans="1:6" ht="30">
      <c r="A295" s="56" t="s">
        <v>186</v>
      </c>
      <c r="B295" s="60" t="s">
        <v>4</v>
      </c>
      <c r="C295" s="53">
        <f t="shared" si="6"/>
        <v>6</v>
      </c>
      <c r="D295" s="62">
        <v>40</v>
      </c>
      <c r="E295" s="63"/>
      <c r="F295" s="55">
        <f t="shared" si="5"/>
        <v>240</v>
      </c>
    </row>
    <row r="296" spans="1:6" ht="15">
      <c r="A296" s="56" t="s">
        <v>187</v>
      </c>
      <c r="B296" s="60" t="s">
        <v>4</v>
      </c>
      <c r="C296" s="53">
        <f t="shared" si="6"/>
        <v>2</v>
      </c>
      <c r="D296" s="62">
        <v>750</v>
      </c>
      <c r="E296" s="63"/>
      <c r="F296" s="55">
        <f t="shared" si="5"/>
        <v>1500</v>
      </c>
    </row>
    <row r="297" spans="1:6" ht="15.75" thickBot="1">
      <c r="A297" s="86" t="s">
        <v>241</v>
      </c>
      <c r="B297" s="87" t="s">
        <v>4</v>
      </c>
      <c r="C297" s="106">
        <f t="shared" si="6"/>
        <v>1</v>
      </c>
      <c r="D297" s="88">
        <v>300</v>
      </c>
      <c r="E297" s="89"/>
      <c r="F297" s="90">
        <f>C297*D297</f>
        <v>300</v>
      </c>
    </row>
    <row r="298" spans="1:6" ht="15.75" thickBot="1">
      <c r="A298" s="100" t="s">
        <v>188</v>
      </c>
      <c r="B298" s="101"/>
      <c r="C298" s="102"/>
      <c r="D298" s="101"/>
      <c r="E298" s="103"/>
      <c r="F298" s="104">
        <f>SUM(F206:F297)</f>
        <v>204281.4703598496</v>
      </c>
    </row>
    <row r="299" spans="1:7" ht="249.75" customHeight="1">
      <c r="A299" s="143" t="s">
        <v>251</v>
      </c>
      <c r="B299" s="144"/>
      <c r="C299" s="144"/>
      <c r="D299" s="144"/>
      <c r="E299" s="144"/>
      <c r="F299" s="30"/>
      <c r="G299" s="36"/>
    </row>
    <row r="300" spans="1:5" ht="15">
      <c r="A300" s="14" t="s">
        <v>33</v>
      </c>
      <c r="B300" s="14" t="s">
        <v>11</v>
      </c>
      <c r="C300" s="14"/>
      <c r="D300" s="14"/>
      <c r="E300" s="14" t="s">
        <v>92</v>
      </c>
    </row>
    <row r="301" spans="1:7" ht="33" customHeight="1">
      <c r="A301" s="29" t="s">
        <v>39</v>
      </c>
      <c r="G301" s="37"/>
    </row>
    <row r="302" spans="1:7" ht="63" customHeight="1">
      <c r="A302" s="29"/>
      <c r="G302" s="37"/>
    </row>
  </sheetData>
  <sheetProtection password="D290" sheet="1" objects="1" scenarios="1" selectLockedCells="1" selectUnlockedCells="1"/>
  <mergeCells count="8">
    <mergeCell ref="A286:F286"/>
    <mergeCell ref="A299:E299"/>
    <mergeCell ref="A1:E1"/>
    <mergeCell ref="A2:E2"/>
    <mergeCell ref="A203:F203"/>
    <mergeCell ref="A205:F205"/>
    <mergeCell ref="A267:F267"/>
    <mergeCell ref="A274:F274"/>
  </mergeCells>
  <hyperlinks>
    <hyperlink ref="A301" r:id="rId1" display="http://hold.okis.ru/"/>
  </hyperlinks>
  <printOptions/>
  <pageMargins left="0.7" right="0.7" top="0.75" bottom="0.75" header="0.3" footer="0.3"/>
  <pageSetup horizontalDpi="600" verticalDpi="600" orientation="landscape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</cp:lastModifiedBy>
  <cp:lastPrinted>2010-01-23T20:14:08Z</cp:lastPrinted>
  <dcterms:created xsi:type="dcterms:W3CDTF">2008-03-31T16:17:25Z</dcterms:created>
  <dcterms:modified xsi:type="dcterms:W3CDTF">2010-01-24T07:19:02Z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