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Фундамент ( плита с роств )" sheetId="1" r:id="rId1"/>
    <sheet name="Гараж из керамзитобетона" sheetId="2" r:id="rId2"/>
  </sheets>
  <definedNames/>
  <calcPr fullCalcOnLoad="1"/>
</workbook>
</file>

<file path=xl/sharedStrings.xml><?xml version="1.0" encoding="utf-8"?>
<sst xmlns="http://schemas.openxmlformats.org/spreadsheetml/2006/main" count="195" uniqueCount="105">
  <si>
    <t>Показатель</t>
  </si>
  <si>
    <t>ИТОГО ФУНДАМЕНТ</t>
  </si>
  <si>
    <t>Диски по металлу для резки арматуры</t>
  </si>
  <si>
    <t>Итого на  материал, ориентировочно, руб..</t>
  </si>
  <si>
    <t>Исполнитель   Коханов Игорь</t>
  </si>
  <si>
    <t>телефон 89605521834</t>
  </si>
  <si>
    <t>Емайл  Kompaskiv@rambler.ru</t>
  </si>
  <si>
    <t>кг</t>
  </si>
  <si>
    <t>м.пог.</t>
  </si>
  <si>
    <t>м</t>
  </si>
  <si>
    <t>м2</t>
  </si>
  <si>
    <t>Объёмы (размеры)</t>
  </si>
  <si>
    <t>Итого за  работу, руб..</t>
  </si>
  <si>
    <t>шт</t>
  </si>
  <si>
    <t>м3</t>
  </si>
  <si>
    <t>Ед.изм.</t>
  </si>
  <si>
    <t>Вязальная проволока</t>
  </si>
  <si>
    <t>Цена за единицу работы (материала), руб..</t>
  </si>
  <si>
    <t>Монтаж водоотливных воронок вместе с водоотливной трубой</t>
  </si>
  <si>
    <t>Монтаж водоотливных желобов на крюки на крыше дома</t>
  </si>
  <si>
    <t>Ширина крыши  в развёрнутом виде, размер ориентировочный (+-10%) (расчётная величина, согласовывается с заказчиком)</t>
  </si>
  <si>
    <t>Монтаж металочерепицы (в т.ч. Коньки, ветровые, карнизные)</t>
  </si>
  <si>
    <t>Объём подушки из песка</t>
  </si>
  <si>
    <t xml:space="preserve">Объём подушки из щебня </t>
  </si>
  <si>
    <t>Армировочная сетка 100*100мм (один слой)</t>
  </si>
  <si>
    <t>т</t>
  </si>
  <si>
    <t>Прочие затраты (перчатки, непредвиденные и т.п..) (до 5% от суммы всех затрат на материалы)</t>
  </si>
  <si>
    <t>Длина крыши с учётом карнизов</t>
  </si>
  <si>
    <t>Площадь  крыши  (рассчитана ориентировочно)</t>
  </si>
  <si>
    <t xml:space="preserve">Высота подушки из песка </t>
  </si>
  <si>
    <t xml:space="preserve">Ширина проёма ворот </t>
  </si>
  <si>
    <t xml:space="preserve">Высота подушки из щебня </t>
  </si>
  <si>
    <t>Длина гаража (внешние стены)</t>
  </si>
  <si>
    <t>Ширина гаража (внешние стены)</t>
  </si>
  <si>
    <t>Крыша ( двускатная, без флигелей и т.п. изысков)</t>
  </si>
  <si>
    <t>Вынос крыши  за стены (коробка или карнизы)</t>
  </si>
  <si>
    <t xml:space="preserve">Прочее </t>
  </si>
  <si>
    <t>Итого коробка</t>
  </si>
  <si>
    <t xml:space="preserve">Высота бетонной плиты </t>
  </si>
  <si>
    <t>Длина плиты</t>
  </si>
  <si>
    <t>Ширина  плиты</t>
  </si>
  <si>
    <t>Общая площадь плиты</t>
  </si>
  <si>
    <t>Объём плиты из бетона</t>
  </si>
  <si>
    <t>Бетонирование фундамента   с армированием  и выставлением опалубки (поставка миксером с завода)</t>
  </si>
  <si>
    <t>Стоимость бетона</t>
  </si>
  <si>
    <t>Затраты на песок</t>
  </si>
  <si>
    <t>Затраты на щебень</t>
  </si>
  <si>
    <t>Арматура д.12 для армирования плиты (в две нитки)</t>
  </si>
  <si>
    <t>Обрезная доска 50мм на опалубку</t>
  </si>
  <si>
    <t>Гвозди для монтажа  опалубки</t>
  </si>
  <si>
    <t>Фундамент - плита</t>
  </si>
  <si>
    <t>Предварительный расчёт оплаты за работу по изготовлению бетонной плиты под гараж</t>
  </si>
  <si>
    <t>Фундамент (смотри в листе "фундамент плита")</t>
  </si>
  <si>
    <t>Объём  раствора необходимого для кладки одного блока</t>
  </si>
  <si>
    <t>Монтаж обвязки  по периметру стен из бруса 200*100 мм</t>
  </si>
  <si>
    <t xml:space="preserve">Монтаж стропильной системы  с обрешоткой по верху  стропил  (шаг под металочерепицу) обрезной доской с укладкой плёнки гидропароизоляции (без утепления) </t>
  </si>
  <si>
    <t>Формирование и подшивка коробок и крыльев крыши софитами и лобовыми (джи-фаской)</t>
  </si>
  <si>
    <t>ВСЕГО гараж</t>
  </si>
  <si>
    <t>Ширина ростверка(ленты)</t>
  </si>
  <si>
    <t>Общая длина ростверка</t>
  </si>
  <si>
    <r>
      <t xml:space="preserve">Общая высота фундамента (подушка+ </t>
    </r>
    <r>
      <rPr>
        <sz val="11"/>
        <color indexed="30"/>
        <rFont val="Calibri"/>
        <family val="2"/>
      </rPr>
      <t>плита</t>
    </r>
    <r>
      <rPr>
        <sz val="11"/>
        <color theme="1"/>
        <rFont val="Calibri"/>
        <family val="2"/>
      </rPr>
      <t xml:space="preserve"> из бетона)</t>
    </r>
  </si>
  <si>
    <t>Выемка грунта по ростверку вручную без перемещения</t>
  </si>
  <si>
    <t>Бетонирование ростверка с армированием   (поставка миксером с завода)</t>
  </si>
  <si>
    <t>Вставка окна в готовые проёмы без откосов и обналички</t>
  </si>
  <si>
    <t>Установка подоконника</t>
  </si>
  <si>
    <t>Обшивка стен и потолка мансарды вагонкой (с укладкй плёнки ветрозащиты типа Ютафол, без утепления)(объём ориентировочный)</t>
  </si>
  <si>
    <t>Высота ворот (если ворота распашные)</t>
  </si>
  <si>
    <t>Установка отлива</t>
  </si>
  <si>
    <t>Количество кирпичей 250*120*78 мм в одном блоке необходимых для кладки стен 390*190*188 мм</t>
  </si>
  <si>
    <t>Обработка деревянных обвязки, потолочных балок, стропил, обрешотки крыши с двух сторон огне-биозащитным составом типа Сенеж-огне-био (если необходимо)</t>
  </si>
  <si>
    <t>Ступеней</t>
  </si>
  <si>
    <t>Плинтусовка фронтонов мансарды (пол не плинтусуется, только после перетяжки через год)</t>
  </si>
  <si>
    <t>Откосы на окно и обналичка с внутреней  и внешней стороны (в т.ч. Вместо подоконника)</t>
  </si>
  <si>
    <t>Выемка грунта вручную без перемещения (под подушку) (в т.ч.планировка)</t>
  </si>
  <si>
    <t>Глубина выемки грунта (ниже уровня земли, для устройства подушки)</t>
  </si>
  <si>
    <t xml:space="preserve">Устройство песчаной подушки </t>
  </si>
  <si>
    <t xml:space="preserve">Устройство щебёночной подушки </t>
  </si>
  <si>
    <t>Разгрузка материала (ориентировочно, ставится по факту)</t>
  </si>
  <si>
    <t>Глубина ростверка(ленты) ниже уровня плиты (если необходим ростверк по периметру плиты, а  это зависит от местных грунтов)</t>
  </si>
  <si>
    <t>Значения в ячейках с зелёным фоном можете сами менять подгоняя под свои параметрыи смета автоматически всё пересчитает!</t>
  </si>
  <si>
    <t>Длина внутреней стены из керамзитобетона (разделяющей строение на гараж и хозблок)</t>
  </si>
  <si>
    <t>Количество дверей в стенах</t>
  </si>
  <si>
    <t>Общая длина стен из керамзитобетона (в т.ч. внутреняя стена)(без одной торцевой стены где располагаются ворота)</t>
  </si>
  <si>
    <t>Высота  стен из керамзитобетона на первом этаже (с учётом монтажа  балок потолочного перекрытия)</t>
  </si>
  <si>
    <t>Всего высота  стен из керамзитобетона</t>
  </si>
  <si>
    <t>Высота  стен из керамзитобетона на мансардном этаже (если необходимо - то измените высоту на своё значение)</t>
  </si>
  <si>
    <t>Объём  одного блока (если блок размером 390*190*190 мм)</t>
  </si>
  <si>
    <t xml:space="preserve">Количество блоков необходимых для кладки  стенстен </t>
  </si>
  <si>
    <t xml:space="preserve">Кладка стен из блоков </t>
  </si>
  <si>
    <t>Кладка передней стены (где ворота)из полнотелого кирпича 250*120*78 мм (черновая)</t>
  </si>
  <si>
    <t>Толщина стен из керамзитобетона (толщина керамзитного блока 19 или 20 см у разных производителей)</t>
  </si>
  <si>
    <t>Монтаж  потолочных балок   из бруса 100*200мм (шаг 0.7м)</t>
  </si>
  <si>
    <t>Монтаж лестницы (бюджетный вариант)</t>
  </si>
  <si>
    <t>Монтаж чистового пола на мансарде из шпунтованной доски толщиной (без плинтусовки)(ориентировочная площадь лестничного проёма исключена)</t>
  </si>
  <si>
    <r>
      <t xml:space="preserve">Формирование каркаса фронтонов , </t>
    </r>
    <r>
      <rPr>
        <b/>
        <sz val="11"/>
        <color indexed="30"/>
        <rFont val="Calibri"/>
        <family val="2"/>
      </rPr>
      <t>проёма  окона</t>
    </r>
    <r>
      <rPr>
        <b/>
        <sz val="11"/>
        <color indexed="8"/>
        <rFont val="Calibri"/>
        <family val="2"/>
      </rPr>
      <t xml:space="preserve"> и обшивка их блокхаусом и имитацией бруса  (площадь ориентировочна)</t>
    </r>
  </si>
  <si>
    <t>Высота помещения на мансарде (до потолка)</t>
  </si>
  <si>
    <t>Монтаж лесов (с последующей разборкой)</t>
  </si>
  <si>
    <t>Утепление  стен мансарды слоем 50мм (высота  по блокам между маяков)</t>
  </si>
  <si>
    <t>Утеплениенаклонных стен  (между стропил) и потолка слоем 100мм</t>
  </si>
  <si>
    <t>Вставка  двери (без доборов и обналички)</t>
  </si>
  <si>
    <t>Монтаж люка в потолке (если нужно)</t>
  </si>
  <si>
    <t>Формирование карнизов (свесов) и подшивка их софитами и джифаской (лобовыми)</t>
  </si>
  <si>
    <t>Предварительный расчёт оплаты за работу по строительству гаража из керамзитобетона с частичной отделкой (или пенобетона)</t>
  </si>
  <si>
    <t>Объём   стен из керамзитобетона (в т.ч. четвёртая мансардная стена над воротами (объёмы проёмов дверей исключены)</t>
  </si>
  <si>
    <t>15.01.2010г.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</si>
</sst>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#,##0_ ;\-#,##0\ "/>
    <numFmt numFmtId="183" formatCode="0.0000000"/>
    <numFmt numFmtId="184" formatCode="0.00000000"/>
    <numFmt numFmtId="185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9"/>
      <color indexed="36"/>
      <name val="Calibri"/>
      <family val="2"/>
    </font>
    <font>
      <b/>
      <sz val="11"/>
      <color indexed="10"/>
      <name val="Calibri"/>
      <family val="0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D11B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174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17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/>
    </xf>
    <xf numFmtId="2" fontId="0" fillId="33" borderId="13" xfId="0" applyNumberFormat="1" applyFont="1" applyFill="1" applyBorder="1" applyAlignment="1">
      <alignment horizontal="center" wrapText="1"/>
    </xf>
    <xf numFmtId="1" fontId="0" fillId="33" borderId="14" xfId="0" applyNumberFormat="1" applyFont="1" applyFill="1" applyBorder="1" applyAlignment="1">
      <alignment horizontal="center" wrapText="1"/>
    </xf>
    <xf numFmtId="1" fontId="0" fillId="33" borderId="13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174" fontId="0" fillId="33" borderId="13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 wrapText="1"/>
    </xf>
    <xf numFmtId="1" fontId="0" fillId="0" borderId="13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174" fontId="0" fillId="33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1" fontId="2" fillId="0" borderId="17" xfId="0" applyNumberFormat="1" applyFont="1" applyBorder="1" applyAlignment="1">
      <alignment horizontal="left" wrapText="1"/>
    </xf>
    <xf numFmtId="1" fontId="0" fillId="33" borderId="17" xfId="0" applyNumberFormat="1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8" xfId="0" applyFont="1" applyBorder="1" applyAlignment="1">
      <alignment wrapText="1"/>
    </xf>
    <xf numFmtId="174" fontId="0" fillId="0" borderId="10" xfId="0" applyNumberForma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2" fillId="0" borderId="19" xfId="0" applyNumberFormat="1" applyFont="1" applyBorder="1" applyAlignment="1">
      <alignment horizontal="left" wrapText="1"/>
    </xf>
    <xf numFmtId="174" fontId="0" fillId="34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1" fontId="44" fillId="0" borderId="0" xfId="0" applyNumberFormat="1" applyFont="1" applyBorder="1" applyAlignment="1">
      <alignment horizontal="left"/>
    </xf>
    <xf numFmtId="1" fontId="44" fillId="35" borderId="0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174" fontId="0" fillId="36" borderId="13" xfId="0" applyNumberFormat="1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" fontId="2" fillId="0" borderId="25" xfId="0" applyNumberFormat="1" applyFont="1" applyBorder="1" applyAlignment="1">
      <alignment horizontal="left"/>
    </xf>
    <xf numFmtId="0" fontId="4" fillId="0" borderId="19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1" fontId="7" fillId="0" borderId="27" xfId="0" applyNumberFormat="1" applyFont="1" applyBorder="1" applyAlignment="1">
      <alignment horizontal="left"/>
    </xf>
    <xf numFmtId="172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1" fontId="2" fillId="0" borderId="28" xfId="0" applyNumberFormat="1" applyFont="1" applyBorder="1" applyAlignment="1">
      <alignment horizontal="left" wrapText="1"/>
    </xf>
    <xf numFmtId="1" fontId="0" fillId="37" borderId="13" xfId="0" applyNumberFormat="1" applyFont="1" applyFill="1" applyBorder="1" applyAlignment="1">
      <alignment horizontal="center" wrapText="1"/>
    </xf>
    <xf numFmtId="0" fontId="45" fillId="33" borderId="12" xfId="0" applyFont="1" applyFill="1" applyBorder="1" applyAlignment="1">
      <alignment wrapText="1"/>
    </xf>
    <xf numFmtId="0" fontId="45" fillId="33" borderId="13" xfId="0" applyFont="1" applyFill="1" applyBorder="1" applyAlignment="1">
      <alignment/>
    </xf>
    <xf numFmtId="174" fontId="45" fillId="33" borderId="13" xfId="0" applyNumberFormat="1" applyFont="1" applyFill="1" applyBorder="1" applyAlignment="1">
      <alignment horizontal="center" wrapText="1"/>
    </xf>
    <xf numFmtId="1" fontId="45" fillId="33" borderId="14" xfId="0" applyNumberFormat="1" applyFont="1" applyFill="1" applyBorder="1" applyAlignment="1">
      <alignment horizontal="center" wrapText="1"/>
    </xf>
    <xf numFmtId="1" fontId="45" fillId="33" borderId="17" xfId="0" applyNumberFormat="1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center" wrapText="1"/>
    </xf>
    <xf numFmtId="1" fontId="45" fillId="33" borderId="13" xfId="0" applyNumberFormat="1" applyFont="1" applyFill="1" applyBorder="1" applyAlignment="1">
      <alignment horizontal="center" wrapText="1"/>
    </xf>
    <xf numFmtId="174" fontId="45" fillId="33" borderId="14" xfId="0" applyNumberFormat="1" applyFont="1" applyFill="1" applyBorder="1" applyAlignment="1">
      <alignment horizontal="center" wrapText="1"/>
    </xf>
    <xf numFmtId="0" fontId="45" fillId="33" borderId="17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2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7" fillId="0" borderId="13" xfId="0" applyFont="1" applyBorder="1" applyAlignment="1">
      <alignment/>
    </xf>
    <xf numFmtId="174" fontId="26" fillId="0" borderId="10" xfId="0" applyNumberFormat="1" applyFont="1" applyBorder="1" applyAlignment="1">
      <alignment horizontal="center"/>
    </xf>
    <xf numFmtId="0" fontId="26" fillId="0" borderId="11" xfId="0" applyFont="1" applyBorder="1" applyAlignment="1">
      <alignment/>
    </xf>
    <xf numFmtId="1" fontId="26" fillId="37" borderId="13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" fontId="7" fillId="0" borderId="17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0" fillId="33" borderId="27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28" xfId="0" applyFill="1" applyBorder="1" applyAlignment="1">
      <alignment/>
    </xf>
    <xf numFmtId="1" fontId="0" fillId="33" borderId="28" xfId="0" applyNumberFormat="1" applyFill="1" applyBorder="1" applyAlignment="1">
      <alignment/>
    </xf>
    <xf numFmtId="0" fontId="45" fillId="33" borderId="28" xfId="0" applyFont="1" applyFill="1" applyBorder="1" applyAlignment="1">
      <alignment/>
    </xf>
    <xf numFmtId="1" fontId="45" fillId="33" borderId="28" xfId="0" applyNumberFormat="1" applyFont="1" applyFill="1" applyBorder="1" applyAlignment="1">
      <alignment/>
    </xf>
    <xf numFmtId="1" fontId="2" fillId="33" borderId="27" xfId="0" applyNumberFormat="1" applyFont="1" applyFill="1" applyBorder="1" applyAlignment="1">
      <alignment horizontal="right" wrapText="1"/>
    </xf>
    <xf numFmtId="1" fontId="0" fillId="34" borderId="13" xfId="0" applyNumberForma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8" xfId="0" applyBorder="1" applyAlignment="1">
      <alignment horizontal="left"/>
    </xf>
    <xf numFmtId="1" fontId="7" fillId="0" borderId="28" xfId="0" applyNumberFormat="1" applyFont="1" applyBorder="1" applyAlignment="1">
      <alignment horizontal="left" wrapText="1"/>
    </xf>
    <xf numFmtId="1" fontId="2" fillId="0" borderId="28" xfId="0" applyNumberFormat="1" applyFont="1" applyBorder="1" applyAlignment="1">
      <alignment horizontal="left" wrapText="1"/>
    </xf>
    <xf numFmtId="0" fontId="0" fillId="0" borderId="29" xfId="0" applyBorder="1" applyAlignment="1">
      <alignment horizontal="left"/>
    </xf>
    <xf numFmtId="1" fontId="2" fillId="0" borderId="28" xfId="0" applyNumberFormat="1" applyFont="1" applyBorder="1" applyAlignment="1">
      <alignment horizontal="left"/>
    </xf>
    <xf numFmtId="1" fontId="7" fillId="0" borderId="28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left"/>
    </xf>
    <xf numFmtId="174" fontId="0" fillId="38" borderId="13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82" zoomScaleNormal="82" zoomScalePageLayoutView="0" workbookViewId="0" topLeftCell="A1">
      <selection activeCell="B46" sqref="B46"/>
    </sheetView>
  </sheetViews>
  <sheetFormatPr defaultColWidth="9.00390625" defaultRowHeight="15"/>
  <cols>
    <col min="1" max="1" width="39.140625" style="0" customWidth="1"/>
    <col min="2" max="2" width="5.421875" style="0" customWidth="1"/>
    <col min="3" max="3" width="8.00390625" style="0" customWidth="1"/>
    <col min="4" max="4" width="9.28125" style="0" customWidth="1"/>
    <col min="5" max="5" width="9.7109375" style="0" customWidth="1"/>
    <col min="6" max="6" width="10.28125" style="0" bestFit="1" customWidth="1"/>
  </cols>
  <sheetData>
    <row r="1" spans="1:5" ht="39" customHeight="1">
      <c r="A1" s="123" t="s">
        <v>79</v>
      </c>
      <c r="B1" s="124"/>
      <c r="C1" s="124"/>
      <c r="D1" s="124"/>
      <c r="E1" s="124"/>
    </row>
    <row r="2" spans="1:6" ht="33.75" customHeight="1" thickBot="1">
      <c r="A2" s="122" t="s">
        <v>51</v>
      </c>
      <c r="B2" s="122"/>
      <c r="C2" s="122"/>
      <c r="D2" s="122"/>
      <c r="E2" s="122"/>
      <c r="F2" s="55"/>
    </row>
    <row r="3" spans="1:6" ht="107.25" customHeight="1" thickBot="1">
      <c r="A3" s="54" t="s">
        <v>0</v>
      </c>
      <c r="B3" s="20" t="s">
        <v>15</v>
      </c>
      <c r="C3" s="20" t="s">
        <v>11</v>
      </c>
      <c r="D3" s="21" t="s">
        <v>17</v>
      </c>
      <c r="E3" s="46" t="s">
        <v>12</v>
      </c>
      <c r="F3" s="99" t="s">
        <v>3</v>
      </c>
    </row>
    <row r="4" spans="1:6" ht="30" customHeight="1">
      <c r="A4" s="58" t="s">
        <v>50</v>
      </c>
      <c r="B4" s="1"/>
      <c r="C4" s="2"/>
      <c r="D4" s="3"/>
      <c r="E4" s="47"/>
      <c r="F4" s="100"/>
    </row>
    <row r="5" spans="1:6" ht="29.25" customHeight="1">
      <c r="A5" s="27" t="s">
        <v>29</v>
      </c>
      <c r="B5" s="5" t="s">
        <v>9</v>
      </c>
      <c r="C5" s="51">
        <v>0.05</v>
      </c>
      <c r="D5" s="7"/>
      <c r="E5" s="48"/>
      <c r="F5" s="101"/>
    </row>
    <row r="6" spans="1:6" ht="27.75" customHeight="1">
      <c r="A6" s="27" t="s">
        <v>31</v>
      </c>
      <c r="B6" s="5" t="s">
        <v>9</v>
      </c>
      <c r="C6" s="51">
        <v>0.05</v>
      </c>
      <c r="D6" s="7"/>
      <c r="E6" s="48"/>
      <c r="F6" s="101"/>
    </row>
    <row r="7" spans="1:6" ht="27.75" customHeight="1">
      <c r="A7" s="27" t="s">
        <v>74</v>
      </c>
      <c r="B7" s="5" t="s">
        <v>9</v>
      </c>
      <c r="C7" s="51">
        <f>C5+C6</f>
        <v>0.1</v>
      </c>
      <c r="D7" s="7"/>
      <c r="E7" s="48"/>
      <c r="F7" s="101"/>
    </row>
    <row r="8" spans="1:6" ht="27.75" customHeight="1">
      <c r="A8" s="27" t="s">
        <v>38</v>
      </c>
      <c r="B8" s="5" t="s">
        <v>9</v>
      </c>
      <c r="C8" s="51">
        <v>0.2</v>
      </c>
      <c r="D8" s="7"/>
      <c r="E8" s="48"/>
      <c r="F8" s="101"/>
    </row>
    <row r="9" spans="1:6" ht="46.5" customHeight="1">
      <c r="A9" s="27" t="s">
        <v>60</v>
      </c>
      <c r="B9" s="5" t="s">
        <v>9</v>
      </c>
      <c r="C9" s="62">
        <f>C5+C6+C8</f>
        <v>0.30000000000000004</v>
      </c>
      <c r="D9" s="7"/>
      <c r="E9" s="48"/>
      <c r="F9" s="101"/>
    </row>
    <row r="10" spans="1:6" ht="33.75" customHeight="1">
      <c r="A10" s="27" t="s">
        <v>39</v>
      </c>
      <c r="B10" s="5" t="s">
        <v>9</v>
      </c>
      <c r="C10" s="50">
        <v>8</v>
      </c>
      <c r="D10" s="7"/>
      <c r="E10" s="48"/>
      <c r="F10" s="101"/>
    </row>
    <row r="11" spans="1:6" ht="33.75" customHeight="1">
      <c r="A11" s="27" t="s">
        <v>40</v>
      </c>
      <c r="B11" s="5" t="s">
        <v>9</v>
      </c>
      <c r="C11" s="50">
        <v>4.5</v>
      </c>
      <c r="D11" s="7"/>
      <c r="E11" s="48"/>
      <c r="F11" s="101"/>
    </row>
    <row r="12" spans="1:6" ht="29.25" customHeight="1">
      <c r="A12" s="27" t="s">
        <v>41</v>
      </c>
      <c r="B12" s="32" t="s">
        <v>10</v>
      </c>
      <c r="C12" s="61">
        <f>C10*C11</f>
        <v>36</v>
      </c>
      <c r="D12" s="7"/>
      <c r="E12" s="48"/>
      <c r="F12" s="101"/>
    </row>
    <row r="13" spans="1:6" ht="38.25" customHeight="1">
      <c r="A13" s="27" t="s">
        <v>22</v>
      </c>
      <c r="B13" s="32" t="s">
        <v>14</v>
      </c>
      <c r="C13" s="6">
        <f>C5*C12</f>
        <v>1.8</v>
      </c>
      <c r="D13" s="7"/>
      <c r="E13" s="48"/>
      <c r="F13" s="101"/>
    </row>
    <row r="14" spans="1:6" ht="38.25" customHeight="1">
      <c r="A14" s="27" t="s">
        <v>23</v>
      </c>
      <c r="B14" s="32" t="s">
        <v>14</v>
      </c>
      <c r="C14" s="6">
        <f>C6*C12</f>
        <v>1.8</v>
      </c>
      <c r="D14" s="7"/>
      <c r="E14" s="48"/>
      <c r="F14" s="101"/>
    </row>
    <row r="15" spans="1:6" ht="38.25" customHeight="1">
      <c r="A15" s="27" t="s">
        <v>42</v>
      </c>
      <c r="B15" s="32" t="s">
        <v>14</v>
      </c>
      <c r="C15" s="6">
        <f>C12*C8</f>
        <v>7.2</v>
      </c>
      <c r="D15" s="7"/>
      <c r="E15" s="48"/>
      <c r="F15" s="101"/>
    </row>
    <row r="16" spans="1:6" ht="49.5" customHeight="1">
      <c r="A16" s="11" t="s">
        <v>73</v>
      </c>
      <c r="B16" s="8" t="s">
        <v>14</v>
      </c>
      <c r="C16" s="9">
        <f>C12*C7</f>
        <v>3.6</v>
      </c>
      <c r="D16" s="10">
        <v>600</v>
      </c>
      <c r="E16" s="40">
        <f>C16*D16</f>
        <v>2160</v>
      </c>
      <c r="F16" s="101"/>
    </row>
    <row r="17" spans="1:6" ht="34.5" customHeight="1">
      <c r="A17" s="38" t="s">
        <v>75</v>
      </c>
      <c r="B17" s="8" t="s">
        <v>14</v>
      </c>
      <c r="C17" s="9">
        <f>C13</f>
        <v>1.8</v>
      </c>
      <c r="D17" s="10">
        <v>300</v>
      </c>
      <c r="E17" s="40">
        <f>C17*D17</f>
        <v>540</v>
      </c>
      <c r="F17" s="101"/>
    </row>
    <row r="18" spans="1:6" ht="34.5" customHeight="1">
      <c r="A18" s="38" t="s">
        <v>76</v>
      </c>
      <c r="B18" s="8" t="s">
        <v>14</v>
      </c>
      <c r="C18" s="9">
        <f>C14</f>
        <v>1.8</v>
      </c>
      <c r="D18" s="10">
        <v>300</v>
      </c>
      <c r="E18" s="40">
        <f>C18*D18</f>
        <v>540</v>
      </c>
      <c r="F18" s="101"/>
    </row>
    <row r="19" spans="1:6" ht="60.75" customHeight="1">
      <c r="A19" s="11" t="s">
        <v>43</v>
      </c>
      <c r="B19" s="8" t="s">
        <v>14</v>
      </c>
      <c r="C19" s="9">
        <f>C15</f>
        <v>7.2</v>
      </c>
      <c r="D19" s="10">
        <v>3000</v>
      </c>
      <c r="E19" s="40">
        <f>C19*D19</f>
        <v>21600</v>
      </c>
      <c r="F19" s="101"/>
    </row>
    <row r="20" spans="1:6" ht="30.75" customHeight="1">
      <c r="A20" s="12" t="s">
        <v>44</v>
      </c>
      <c r="B20" s="13" t="s">
        <v>14</v>
      </c>
      <c r="C20" s="18">
        <f>C19*0</f>
        <v>0</v>
      </c>
      <c r="D20" s="15">
        <f>3600*0</f>
        <v>0</v>
      </c>
      <c r="E20" s="41"/>
      <c r="F20" s="102">
        <f>C20*D20</f>
        <v>0</v>
      </c>
    </row>
    <row r="21" spans="1:6" ht="30.75" customHeight="1">
      <c r="A21" s="12" t="s">
        <v>45</v>
      </c>
      <c r="B21" s="13" t="s">
        <v>14</v>
      </c>
      <c r="C21" s="18">
        <f>C17*0</f>
        <v>0</v>
      </c>
      <c r="D21" s="15">
        <f>770*0</f>
        <v>0</v>
      </c>
      <c r="E21" s="41"/>
      <c r="F21" s="102">
        <f aca="true" t="shared" si="0" ref="F21:F28">C21*D21</f>
        <v>0</v>
      </c>
    </row>
    <row r="22" spans="1:6" ht="30.75" customHeight="1">
      <c r="A22" s="12" t="s">
        <v>46</v>
      </c>
      <c r="B22" s="13" t="s">
        <v>14</v>
      </c>
      <c r="C22" s="18">
        <f>C18*0</f>
        <v>0</v>
      </c>
      <c r="D22" s="15">
        <f>2150*0</f>
        <v>0</v>
      </c>
      <c r="E22" s="41"/>
      <c r="F22" s="102">
        <f>C22*D22</f>
        <v>0</v>
      </c>
    </row>
    <row r="23" spans="1:6" ht="27.75" customHeight="1">
      <c r="A23" s="12" t="s">
        <v>47</v>
      </c>
      <c r="B23" s="63" t="s">
        <v>8</v>
      </c>
      <c r="C23" s="16">
        <f>((C10/0.2)*C11+C11/0.2*C10+((C10/0.2)*C11/0.2)*C9/2)*0</f>
        <v>0</v>
      </c>
      <c r="D23" s="34">
        <f>20*0</f>
        <v>0</v>
      </c>
      <c r="E23" s="42"/>
      <c r="F23" s="102">
        <f t="shared" si="0"/>
        <v>0</v>
      </c>
    </row>
    <row r="24" spans="1:6" ht="27.75" customHeight="1">
      <c r="A24" s="12" t="s">
        <v>24</v>
      </c>
      <c r="B24" s="13" t="s">
        <v>10</v>
      </c>
      <c r="C24" s="18">
        <f>C12*0</f>
        <v>0</v>
      </c>
      <c r="D24" s="17">
        <f>100*0</f>
        <v>0</v>
      </c>
      <c r="E24" s="42"/>
      <c r="F24" s="102">
        <f t="shared" si="0"/>
        <v>0</v>
      </c>
    </row>
    <row r="25" spans="1:6" ht="27.75" customHeight="1">
      <c r="A25" s="12" t="s">
        <v>16</v>
      </c>
      <c r="B25" s="63" t="s">
        <v>8</v>
      </c>
      <c r="C25" s="18">
        <f>((C12)/1.5)*15*0.5*0</f>
        <v>0</v>
      </c>
      <c r="D25" s="17">
        <f>5*0</f>
        <v>0</v>
      </c>
      <c r="E25" s="42"/>
      <c r="F25" s="102">
        <f t="shared" si="0"/>
        <v>0</v>
      </c>
    </row>
    <row r="26" spans="1:6" ht="27.75" customHeight="1">
      <c r="A26" s="12" t="s">
        <v>48</v>
      </c>
      <c r="B26" s="13" t="s">
        <v>14</v>
      </c>
      <c r="C26" s="14">
        <f>(C10+C11)*2*(C9-C5-C6)*0.05*1.2*0</f>
        <v>0</v>
      </c>
      <c r="D26" s="17">
        <f>5000*0</f>
        <v>0</v>
      </c>
      <c r="E26" s="42"/>
      <c r="F26" s="102">
        <f t="shared" si="0"/>
        <v>0</v>
      </c>
    </row>
    <row r="27" spans="1:6" ht="27.75" customHeight="1">
      <c r="A27" s="12" t="s">
        <v>49</v>
      </c>
      <c r="B27" s="13" t="s">
        <v>7</v>
      </c>
      <c r="C27" s="18">
        <f>C26*15</f>
        <v>0</v>
      </c>
      <c r="D27" s="17">
        <f>70*0</f>
        <v>0</v>
      </c>
      <c r="E27" s="42"/>
      <c r="F27" s="102">
        <f t="shared" si="0"/>
        <v>0</v>
      </c>
    </row>
    <row r="28" spans="1:6" ht="27.75" customHeight="1">
      <c r="A28" s="12" t="s">
        <v>2</v>
      </c>
      <c r="B28" s="13" t="s">
        <v>13</v>
      </c>
      <c r="C28" s="16">
        <f>C23/40</f>
        <v>0</v>
      </c>
      <c r="D28" s="17">
        <f>50*0</f>
        <v>0</v>
      </c>
      <c r="E28" s="42"/>
      <c r="F28" s="102">
        <f t="shared" si="0"/>
        <v>0</v>
      </c>
    </row>
    <row r="29" spans="1:6" ht="62.25" customHeight="1">
      <c r="A29" s="98" t="s">
        <v>78</v>
      </c>
      <c r="B29" s="5" t="s">
        <v>9</v>
      </c>
      <c r="C29" s="51">
        <v>0.3</v>
      </c>
      <c r="D29" s="7"/>
      <c r="E29" s="48"/>
      <c r="F29" s="101"/>
    </row>
    <row r="30" spans="1:6" ht="33.75" customHeight="1">
      <c r="A30" s="98" t="s">
        <v>58</v>
      </c>
      <c r="B30" s="5" t="s">
        <v>9</v>
      </c>
      <c r="C30" s="51">
        <v>0.3</v>
      </c>
      <c r="D30" s="7"/>
      <c r="E30" s="48"/>
      <c r="F30" s="101"/>
    </row>
    <row r="31" spans="1:6" ht="38.25" customHeight="1">
      <c r="A31" s="98" t="s">
        <v>59</v>
      </c>
      <c r="B31" s="5" t="s">
        <v>9</v>
      </c>
      <c r="C31" s="50">
        <f>(C10+C11)*2-C30*4</f>
        <v>23.8</v>
      </c>
      <c r="D31" s="7"/>
      <c r="E31" s="48"/>
      <c r="F31" s="101"/>
    </row>
    <row r="32" spans="1:6" ht="28.5" customHeight="1">
      <c r="A32" s="87" t="s">
        <v>61</v>
      </c>
      <c r="B32" s="90" t="s">
        <v>14</v>
      </c>
      <c r="C32" s="97">
        <f>C29*C30*C31</f>
        <v>2.142</v>
      </c>
      <c r="D32" s="94">
        <v>600</v>
      </c>
      <c r="E32" s="95">
        <f>C32*D32</f>
        <v>1285.2</v>
      </c>
      <c r="F32" s="103"/>
    </row>
    <row r="33" spans="1:6" ht="49.5" customHeight="1">
      <c r="A33" s="87" t="s">
        <v>62</v>
      </c>
      <c r="B33" s="90" t="s">
        <v>14</v>
      </c>
      <c r="C33" s="97">
        <f>C32</f>
        <v>2.142</v>
      </c>
      <c r="D33" s="94">
        <v>3000</v>
      </c>
      <c r="E33" s="95">
        <f>C33*D33</f>
        <v>6426</v>
      </c>
      <c r="F33" s="103"/>
    </row>
    <row r="34" spans="1:6" ht="30.75" customHeight="1">
      <c r="A34" s="76" t="s">
        <v>44</v>
      </c>
      <c r="B34" s="77" t="s">
        <v>14</v>
      </c>
      <c r="C34" s="78">
        <f>C33*0</f>
        <v>0</v>
      </c>
      <c r="D34" s="79">
        <f>3600*0</f>
        <v>0</v>
      </c>
      <c r="E34" s="80"/>
      <c r="F34" s="104">
        <f>C34*D34</f>
        <v>0</v>
      </c>
    </row>
    <row r="35" spans="1:6" ht="27.75" customHeight="1">
      <c r="A35" s="76" t="s">
        <v>47</v>
      </c>
      <c r="B35" s="81" t="s">
        <v>8</v>
      </c>
      <c r="C35" s="82">
        <f>(C31*4+(C31/1)*4)*0</f>
        <v>0</v>
      </c>
      <c r="D35" s="83">
        <f>20*0</f>
        <v>0</v>
      </c>
      <c r="E35" s="84"/>
      <c r="F35" s="104">
        <f>C35*D35</f>
        <v>0</v>
      </c>
    </row>
    <row r="36" spans="1:6" ht="27.75" customHeight="1">
      <c r="A36" s="76" t="s">
        <v>24</v>
      </c>
      <c r="B36" s="77" t="s">
        <v>10</v>
      </c>
      <c r="C36" s="78">
        <f>C31*C30*0</f>
        <v>0</v>
      </c>
      <c r="D36" s="85">
        <f>100*0</f>
        <v>0</v>
      </c>
      <c r="E36" s="84"/>
      <c r="F36" s="104">
        <f>C36*D36</f>
        <v>0</v>
      </c>
    </row>
    <row r="37" spans="1:6" ht="27.75" customHeight="1">
      <c r="A37" s="76" t="s">
        <v>16</v>
      </c>
      <c r="B37" s="81" t="s">
        <v>8</v>
      </c>
      <c r="C37" s="78">
        <f>C25/C19*C33</f>
        <v>0</v>
      </c>
      <c r="D37" s="85">
        <f>5*0</f>
        <v>0</v>
      </c>
      <c r="E37" s="84"/>
      <c r="F37" s="104">
        <f>C37*D37</f>
        <v>0</v>
      </c>
    </row>
    <row r="38" spans="1:6" ht="27.75" customHeight="1">
      <c r="A38" s="76" t="s">
        <v>2</v>
      </c>
      <c r="B38" s="77" t="s">
        <v>13</v>
      </c>
      <c r="C38" s="82">
        <f>C35/40</f>
        <v>0</v>
      </c>
      <c r="D38" s="85">
        <f>50*0</f>
        <v>0</v>
      </c>
      <c r="E38" s="84"/>
      <c r="F38" s="104">
        <f>C38*D38</f>
        <v>0</v>
      </c>
    </row>
    <row r="39" spans="1:6" ht="30">
      <c r="A39" s="38" t="s">
        <v>77</v>
      </c>
      <c r="B39" s="59" t="s">
        <v>25</v>
      </c>
      <c r="C39" s="9">
        <v>0</v>
      </c>
      <c r="D39" s="10">
        <v>300</v>
      </c>
      <c r="E39" s="40">
        <f>C39*D39</f>
        <v>0</v>
      </c>
      <c r="F39" s="101"/>
    </row>
    <row r="40" spans="1:6" ht="44.25" customHeight="1" thickBot="1">
      <c r="A40" s="12" t="s">
        <v>26</v>
      </c>
      <c r="B40" s="13"/>
      <c r="C40" s="16"/>
      <c r="D40" s="17"/>
      <c r="E40" s="42"/>
      <c r="F40" s="102">
        <f>SUM(F4:F39)*0.05</f>
        <v>0</v>
      </c>
    </row>
    <row r="41" spans="1:6" ht="19.5" thickBot="1">
      <c r="A41" s="52" t="s">
        <v>1</v>
      </c>
      <c r="B41" s="19"/>
      <c r="C41" s="20"/>
      <c r="D41" s="53"/>
      <c r="E41" s="49">
        <f>SUM(E4:E40)</f>
        <v>32551.2</v>
      </c>
      <c r="F41" s="105">
        <f>SUM(F4:F40)</f>
        <v>0</v>
      </c>
    </row>
    <row r="42" spans="1:6" ht="15">
      <c r="A42" s="35"/>
      <c r="B42" s="37"/>
      <c r="C42" s="36"/>
      <c r="D42" s="36"/>
      <c r="E42" s="56"/>
      <c r="F42" s="57"/>
    </row>
    <row r="43" spans="1:5" ht="15">
      <c r="A43" t="s">
        <v>4</v>
      </c>
      <c r="E43" s="33"/>
    </row>
    <row r="44" spans="1:5" ht="15">
      <c r="A44" t="s">
        <v>5</v>
      </c>
      <c r="E44" s="33"/>
    </row>
    <row r="45" spans="1:2" ht="15">
      <c r="A45" t="s">
        <v>6</v>
      </c>
      <c r="B45" t="s">
        <v>104</v>
      </c>
    </row>
    <row r="46" ht="15">
      <c r="D46" s="86"/>
    </row>
  </sheetData>
  <sheetProtection password="D290" sheet="1" objects="1" scenarios="1" selectLockedCells="1" selectUnlockedCells="1"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82" zoomScaleNormal="82" zoomScalePageLayoutView="0" workbookViewId="0" topLeftCell="A1">
      <selection activeCell="G61" sqref="G61"/>
    </sheetView>
  </sheetViews>
  <sheetFormatPr defaultColWidth="9.00390625" defaultRowHeight="15"/>
  <cols>
    <col min="1" max="1" width="39.140625" style="0" customWidth="1"/>
    <col min="2" max="2" width="5.421875" style="0" customWidth="1"/>
    <col min="3" max="3" width="8.00390625" style="0" customWidth="1"/>
    <col min="4" max="4" width="9.28125" style="0" customWidth="1"/>
    <col min="5" max="5" width="9.7109375" style="0" customWidth="1"/>
  </cols>
  <sheetData>
    <row r="1" spans="1:5" ht="39" customHeight="1">
      <c r="A1" s="123" t="s">
        <v>79</v>
      </c>
      <c r="B1" s="124"/>
      <c r="C1" s="124"/>
      <c r="D1" s="124"/>
      <c r="E1" s="124"/>
    </row>
    <row r="2" spans="1:5" ht="38.25" customHeight="1" thickBot="1">
      <c r="A2" s="122" t="s">
        <v>102</v>
      </c>
      <c r="B2" s="122"/>
      <c r="C2" s="122"/>
      <c r="D2" s="122"/>
      <c r="E2" s="122"/>
    </row>
    <row r="3" spans="1:5" ht="107.25" customHeight="1" thickBot="1">
      <c r="A3" s="54" t="s">
        <v>0</v>
      </c>
      <c r="B3" s="20" t="s">
        <v>15</v>
      </c>
      <c r="C3" s="20" t="s">
        <v>11</v>
      </c>
      <c r="D3" s="21" t="s">
        <v>17</v>
      </c>
      <c r="E3" s="112" t="s">
        <v>12</v>
      </c>
    </row>
    <row r="4" spans="1:5" ht="36" customHeight="1">
      <c r="A4" s="4" t="s">
        <v>32</v>
      </c>
      <c r="B4" s="5" t="s">
        <v>9</v>
      </c>
      <c r="C4" s="50">
        <v>6</v>
      </c>
      <c r="D4" s="7"/>
      <c r="E4" s="113"/>
    </row>
    <row r="5" spans="1:5" ht="30.75" customHeight="1">
      <c r="A5" s="4" t="s">
        <v>33</v>
      </c>
      <c r="B5" s="5" t="s">
        <v>9</v>
      </c>
      <c r="C5" s="50">
        <v>5</v>
      </c>
      <c r="D5" s="7"/>
      <c r="E5" s="113"/>
    </row>
    <row r="6" spans="1:5" ht="26.25" customHeight="1">
      <c r="A6" s="27" t="s">
        <v>30</v>
      </c>
      <c r="B6" s="32" t="s">
        <v>9</v>
      </c>
      <c r="C6" s="50">
        <v>3</v>
      </c>
      <c r="D6" s="7"/>
      <c r="E6" s="113"/>
    </row>
    <row r="7" spans="1:5" ht="48.75" customHeight="1">
      <c r="A7" s="27" t="s">
        <v>80</v>
      </c>
      <c r="B7" s="32" t="s">
        <v>9</v>
      </c>
      <c r="C7" s="121">
        <v>0</v>
      </c>
      <c r="D7" s="7"/>
      <c r="E7" s="113"/>
    </row>
    <row r="8" spans="1:5" ht="26.25" customHeight="1">
      <c r="A8" s="27" t="s">
        <v>81</v>
      </c>
      <c r="B8" s="32" t="s">
        <v>13</v>
      </c>
      <c r="C8" s="106">
        <v>1</v>
      </c>
      <c r="D8" s="7"/>
      <c r="E8" s="113"/>
    </row>
    <row r="9" spans="1:5" ht="26.25" customHeight="1">
      <c r="A9" s="27" t="s">
        <v>66</v>
      </c>
      <c r="B9" s="32" t="s">
        <v>9</v>
      </c>
      <c r="C9" s="51">
        <v>2.2</v>
      </c>
      <c r="D9" s="7"/>
      <c r="E9" s="113"/>
    </row>
    <row r="10" spans="1:5" ht="64.5" customHeight="1">
      <c r="A10" s="27" t="s">
        <v>82</v>
      </c>
      <c r="B10" s="5" t="s">
        <v>9</v>
      </c>
      <c r="C10" s="6">
        <f>C4*2+C5+C7-C14*4-0.25*2</f>
        <v>15.739999999999998</v>
      </c>
      <c r="D10" s="7"/>
      <c r="E10" s="113"/>
    </row>
    <row r="11" spans="1:5" ht="45">
      <c r="A11" s="27" t="s">
        <v>83</v>
      </c>
      <c r="B11" s="5" t="s">
        <v>9</v>
      </c>
      <c r="C11" s="50">
        <f>C9+0.4</f>
        <v>2.6</v>
      </c>
      <c r="D11" s="24"/>
      <c r="E11" s="114"/>
    </row>
    <row r="12" spans="1:5" ht="45">
      <c r="A12" s="27" t="s">
        <v>85</v>
      </c>
      <c r="B12" s="5" t="s">
        <v>9</v>
      </c>
      <c r="C12" s="50">
        <v>1</v>
      </c>
      <c r="D12" s="24"/>
      <c r="E12" s="114"/>
    </row>
    <row r="13" spans="1:5" ht="15">
      <c r="A13" s="27" t="s">
        <v>84</v>
      </c>
      <c r="B13" s="5" t="s">
        <v>9</v>
      </c>
      <c r="C13" s="61">
        <f>C11+C12</f>
        <v>3.6</v>
      </c>
      <c r="D13" s="24"/>
      <c r="E13" s="114"/>
    </row>
    <row r="14" spans="1:5" ht="45">
      <c r="A14" s="27" t="s">
        <v>90</v>
      </c>
      <c r="B14" s="5" t="s">
        <v>9</v>
      </c>
      <c r="C14" s="51">
        <v>0.19</v>
      </c>
      <c r="D14" s="24"/>
      <c r="E14" s="114"/>
    </row>
    <row r="15" spans="1:5" ht="60">
      <c r="A15" s="27" t="s">
        <v>103</v>
      </c>
      <c r="B15" s="5" t="s">
        <v>14</v>
      </c>
      <c r="C15" s="6">
        <f>C10*C13*C14+C5*C12*C14-C8*2*1*C14</f>
        <v>11.336159999999998</v>
      </c>
      <c r="D15" s="25"/>
      <c r="E15" s="114"/>
    </row>
    <row r="16" spans="1:5" ht="30">
      <c r="A16" s="27" t="s">
        <v>86</v>
      </c>
      <c r="B16" s="5" t="s">
        <v>14</v>
      </c>
      <c r="C16" s="72">
        <f>0.39*0.19*0.19</f>
        <v>0.014079</v>
      </c>
      <c r="D16" s="25"/>
      <c r="E16" s="114"/>
    </row>
    <row r="17" spans="1:5" ht="30">
      <c r="A17" s="27" t="s">
        <v>53</v>
      </c>
      <c r="B17" s="5" t="s">
        <v>14</v>
      </c>
      <c r="C17" s="72">
        <f>(0.39+0.19)*0.19*0.01</f>
        <v>0.0011020000000000003</v>
      </c>
      <c r="D17" s="25"/>
      <c r="E17" s="114"/>
    </row>
    <row r="18" spans="1:5" ht="30">
      <c r="A18" s="27" t="s">
        <v>87</v>
      </c>
      <c r="B18" s="32" t="s">
        <v>13</v>
      </c>
      <c r="C18" s="28">
        <f>C15/(C16+C17)</f>
        <v>746.7334167709636</v>
      </c>
      <c r="D18" s="25"/>
      <c r="E18" s="114"/>
    </row>
    <row r="19" spans="1:5" ht="26.25" customHeight="1">
      <c r="A19" s="87" t="s">
        <v>88</v>
      </c>
      <c r="B19" s="90" t="s">
        <v>13</v>
      </c>
      <c r="C19" s="107">
        <f>C18</f>
        <v>746.7334167709636</v>
      </c>
      <c r="D19" s="108">
        <v>50</v>
      </c>
      <c r="E19" s="115">
        <f>C19*D19</f>
        <v>37336.670838548176</v>
      </c>
    </row>
    <row r="20" spans="1:5" ht="45">
      <c r="A20" s="27" t="s">
        <v>68</v>
      </c>
      <c r="B20" s="32" t="s">
        <v>13</v>
      </c>
      <c r="C20" s="6">
        <f>C16/(0.25*0.12*0.068)</f>
        <v>6.901470588235293</v>
      </c>
      <c r="D20" s="25"/>
      <c r="E20" s="114"/>
    </row>
    <row r="21" spans="1:5" ht="43.5" customHeight="1">
      <c r="A21" s="87" t="s">
        <v>89</v>
      </c>
      <c r="B21" s="90" t="s">
        <v>13</v>
      </c>
      <c r="C21" s="107">
        <f>(C5*0.25*C11-C6*0.25*C9)/(0.25*0.12*0.078)</f>
        <v>683.7606837606837</v>
      </c>
      <c r="D21" s="108">
        <v>10</v>
      </c>
      <c r="E21" s="115">
        <f>C21*D21</f>
        <v>6837.606837606837</v>
      </c>
    </row>
    <row r="22" spans="1:5" ht="36" customHeight="1">
      <c r="A22" s="87" t="s">
        <v>54</v>
      </c>
      <c r="B22" s="90" t="s">
        <v>9</v>
      </c>
      <c r="C22" s="107">
        <f>(C4+C5)*2</f>
        <v>22</v>
      </c>
      <c r="D22" s="109">
        <v>100</v>
      </c>
      <c r="E22" s="115">
        <f>C22*D22</f>
        <v>2200</v>
      </c>
    </row>
    <row r="23" spans="1:5" ht="36" customHeight="1">
      <c r="A23" s="87" t="s">
        <v>91</v>
      </c>
      <c r="B23" s="90" t="s">
        <v>13</v>
      </c>
      <c r="C23" s="107">
        <f>(C4/0.7+1)</f>
        <v>9.571428571428571</v>
      </c>
      <c r="D23" s="109">
        <v>500</v>
      </c>
      <c r="E23" s="115">
        <f>C23*D23</f>
        <v>4785.714285714285</v>
      </c>
    </row>
    <row r="24" spans="1:5" ht="36" customHeight="1">
      <c r="A24" s="87" t="s">
        <v>92</v>
      </c>
      <c r="B24" s="110" t="s">
        <v>70</v>
      </c>
      <c r="C24" s="107">
        <v>13</v>
      </c>
      <c r="D24" s="109">
        <v>170</v>
      </c>
      <c r="E24" s="115">
        <f>C24*D24</f>
        <v>2210</v>
      </c>
    </row>
    <row r="25" spans="1:5" ht="90" customHeight="1">
      <c r="A25" s="38" t="s">
        <v>93</v>
      </c>
      <c r="B25" s="59" t="s">
        <v>10</v>
      </c>
      <c r="C25" s="50">
        <f>(C4-0.4)*(C5-0.4)-0.7*3</f>
        <v>23.659999999999997</v>
      </c>
      <c r="D25" s="39">
        <v>300</v>
      </c>
      <c r="E25" s="116">
        <f>C25*D25</f>
        <v>7097.999999999999</v>
      </c>
    </row>
    <row r="26" spans="1:5" ht="58.5" customHeight="1">
      <c r="A26" s="60" t="s">
        <v>34</v>
      </c>
      <c r="B26" s="1"/>
      <c r="C26" s="22"/>
      <c r="D26" s="23"/>
      <c r="E26" s="117"/>
    </row>
    <row r="27" spans="1:5" ht="36.75" customHeight="1">
      <c r="A27" s="27" t="s">
        <v>35</v>
      </c>
      <c r="B27" s="43" t="s">
        <v>9</v>
      </c>
      <c r="C27" s="51">
        <v>0.5</v>
      </c>
      <c r="D27" s="23"/>
      <c r="E27" s="117"/>
    </row>
    <row r="28" spans="1:5" ht="24" customHeight="1">
      <c r="A28" s="44" t="s">
        <v>27</v>
      </c>
      <c r="B28" s="43" t="s">
        <v>9</v>
      </c>
      <c r="C28" s="45">
        <f>C4+C27*2</f>
        <v>7</v>
      </c>
      <c r="D28" s="23"/>
      <c r="E28" s="117"/>
    </row>
    <row r="29" spans="1:5" ht="64.5" customHeight="1">
      <c r="A29" s="44" t="s">
        <v>20</v>
      </c>
      <c r="B29" s="43" t="s">
        <v>9</v>
      </c>
      <c r="C29" s="50">
        <f>9.7</f>
        <v>9.7</v>
      </c>
      <c r="D29" s="23"/>
      <c r="E29" s="117"/>
    </row>
    <row r="30" spans="1:5" ht="54.75" customHeight="1">
      <c r="A30" s="27" t="s">
        <v>28</v>
      </c>
      <c r="B30" s="5" t="s">
        <v>10</v>
      </c>
      <c r="C30" s="28">
        <f>C28*C29</f>
        <v>67.89999999999999</v>
      </c>
      <c r="D30" s="24"/>
      <c r="E30" s="114"/>
    </row>
    <row r="31" spans="1:5" ht="75">
      <c r="A31" s="38" t="s">
        <v>55</v>
      </c>
      <c r="B31" s="8" t="s">
        <v>10</v>
      </c>
      <c r="C31" s="29">
        <f>C30</f>
        <v>67.89999999999999</v>
      </c>
      <c r="D31" s="26">
        <v>350</v>
      </c>
      <c r="E31" s="118">
        <f aca="true" t="shared" si="0" ref="E31:E38">C31*D31</f>
        <v>23764.999999999996</v>
      </c>
    </row>
    <row r="32" spans="1:5" ht="30">
      <c r="A32" s="38" t="s">
        <v>21</v>
      </c>
      <c r="B32" s="8" t="s">
        <v>10</v>
      </c>
      <c r="C32" s="29">
        <f>C30</f>
        <v>67.89999999999999</v>
      </c>
      <c r="D32" s="26">
        <v>250</v>
      </c>
      <c r="E32" s="118">
        <f t="shared" si="0"/>
        <v>16974.999999999996</v>
      </c>
    </row>
    <row r="33" spans="1:5" ht="41.25" customHeight="1">
      <c r="A33" s="38" t="s">
        <v>56</v>
      </c>
      <c r="B33" s="8" t="s">
        <v>8</v>
      </c>
      <c r="C33" s="29">
        <v>0</v>
      </c>
      <c r="D33" s="26">
        <v>250</v>
      </c>
      <c r="E33" s="118">
        <f t="shared" si="0"/>
        <v>0</v>
      </c>
    </row>
    <row r="34" spans="1:5" ht="80.25" customHeight="1">
      <c r="A34" s="38" t="s">
        <v>94</v>
      </c>
      <c r="B34" s="8" t="s">
        <v>10</v>
      </c>
      <c r="C34" s="29">
        <f>C5*3</f>
        <v>15</v>
      </c>
      <c r="D34" s="26">
        <v>350</v>
      </c>
      <c r="E34" s="118">
        <f t="shared" si="0"/>
        <v>5250</v>
      </c>
    </row>
    <row r="35" spans="1:5" ht="33" customHeight="1">
      <c r="A35" s="88" t="s">
        <v>63</v>
      </c>
      <c r="B35" s="59" t="s">
        <v>13</v>
      </c>
      <c r="C35" s="75">
        <v>1</v>
      </c>
      <c r="D35" s="73">
        <v>1500</v>
      </c>
      <c r="E35" s="74">
        <f t="shared" si="0"/>
        <v>1500</v>
      </c>
    </row>
    <row r="36" spans="1:5" ht="63" customHeight="1">
      <c r="A36" s="88" t="s">
        <v>72</v>
      </c>
      <c r="B36" s="59" t="s">
        <v>13</v>
      </c>
      <c r="C36" s="75">
        <f>C35</f>
        <v>1</v>
      </c>
      <c r="D36" s="73">
        <v>1500</v>
      </c>
      <c r="E36" s="74">
        <f t="shared" si="0"/>
        <v>1500</v>
      </c>
    </row>
    <row r="37" spans="1:5" ht="33" customHeight="1">
      <c r="A37" s="88" t="s">
        <v>64</v>
      </c>
      <c r="B37" s="59" t="s">
        <v>13</v>
      </c>
      <c r="C37" s="75">
        <f>C35*0</f>
        <v>0</v>
      </c>
      <c r="D37" s="73">
        <v>500</v>
      </c>
      <c r="E37" s="74">
        <f t="shared" si="0"/>
        <v>0</v>
      </c>
    </row>
    <row r="38" spans="1:5" ht="33" customHeight="1">
      <c r="A38" s="88" t="s">
        <v>67</v>
      </c>
      <c r="B38" s="59" t="s">
        <v>13</v>
      </c>
      <c r="C38" s="75">
        <f>C35</f>
        <v>1</v>
      </c>
      <c r="D38" s="73">
        <v>100</v>
      </c>
      <c r="E38" s="74">
        <f t="shared" si="0"/>
        <v>100</v>
      </c>
    </row>
    <row r="39" spans="1:5" ht="64.5" customHeight="1">
      <c r="A39" s="89" t="s">
        <v>95</v>
      </c>
      <c r="B39" s="43" t="s">
        <v>9</v>
      </c>
      <c r="C39" s="50">
        <v>2.3</v>
      </c>
      <c r="D39" s="23"/>
      <c r="E39" s="117"/>
    </row>
    <row r="40" spans="1:5" ht="69.75" customHeight="1">
      <c r="A40" s="111" t="s">
        <v>65</v>
      </c>
      <c r="B40" s="8" t="s">
        <v>10</v>
      </c>
      <c r="C40" s="29">
        <f>(C4-0.4+C5-0.4)*2*1.3+(C4-0.4)*1.73*2+(5.75+3.32)/2*(2.5-1.25)*2+((C4-0.4)*(3.32))-C35*1.3*1.17</f>
        <v>74.3045</v>
      </c>
      <c r="D40" s="26">
        <v>350</v>
      </c>
      <c r="E40" s="118">
        <f aca="true" t="shared" si="1" ref="E40:E48">C40*D40</f>
        <v>26006.575</v>
      </c>
    </row>
    <row r="41" spans="1:5" ht="69.75" customHeight="1">
      <c r="A41" s="88" t="s">
        <v>71</v>
      </c>
      <c r="B41" s="59" t="s">
        <v>8</v>
      </c>
      <c r="C41" s="29">
        <v>23</v>
      </c>
      <c r="D41" s="26">
        <v>50</v>
      </c>
      <c r="E41" s="118">
        <f t="shared" si="1"/>
        <v>1150</v>
      </c>
    </row>
    <row r="42" spans="1:5" ht="62.25" customHeight="1">
      <c r="A42" s="38" t="s">
        <v>101</v>
      </c>
      <c r="B42" s="8" t="s">
        <v>8</v>
      </c>
      <c r="C42" s="29">
        <f>(C28*2+C29*2)*0</f>
        <v>0</v>
      </c>
      <c r="D42" s="26">
        <v>230</v>
      </c>
      <c r="E42" s="118">
        <f t="shared" si="1"/>
        <v>0</v>
      </c>
    </row>
    <row r="43" spans="1:5" ht="62.25" customHeight="1">
      <c r="A43" s="38" t="s">
        <v>19</v>
      </c>
      <c r="B43" s="8" t="s">
        <v>8</v>
      </c>
      <c r="C43" s="29">
        <f>(C28*2)*0</f>
        <v>0</v>
      </c>
      <c r="D43" s="26">
        <v>200</v>
      </c>
      <c r="E43" s="118">
        <f t="shared" si="1"/>
        <v>0</v>
      </c>
    </row>
    <row r="44" spans="1:5" ht="33.75" customHeight="1">
      <c r="A44" s="11" t="s">
        <v>18</v>
      </c>
      <c r="B44" s="8" t="s">
        <v>13</v>
      </c>
      <c r="C44" s="29">
        <f>2*0</f>
        <v>0</v>
      </c>
      <c r="D44" s="26">
        <v>500</v>
      </c>
      <c r="E44" s="118">
        <f t="shared" si="1"/>
        <v>0</v>
      </c>
    </row>
    <row r="45" spans="1:5" ht="33" customHeight="1">
      <c r="A45" s="88" t="s">
        <v>97</v>
      </c>
      <c r="B45" s="59" t="s">
        <v>10</v>
      </c>
      <c r="C45" s="75">
        <v>0</v>
      </c>
      <c r="D45" s="73">
        <v>50</v>
      </c>
      <c r="E45" s="74">
        <f t="shared" si="1"/>
        <v>0</v>
      </c>
    </row>
    <row r="46" spans="1:5" ht="78" customHeight="1">
      <c r="A46" s="88" t="s">
        <v>98</v>
      </c>
      <c r="B46" s="43" t="s">
        <v>9</v>
      </c>
      <c r="C46" s="75">
        <v>0</v>
      </c>
      <c r="D46" s="73">
        <v>80</v>
      </c>
      <c r="E46" s="74">
        <f t="shared" si="1"/>
        <v>0</v>
      </c>
    </row>
    <row r="47" spans="1:5" ht="43.5" customHeight="1">
      <c r="A47" s="87" t="s">
        <v>100</v>
      </c>
      <c r="B47" s="59" t="s">
        <v>13</v>
      </c>
      <c r="C47" s="75">
        <v>1</v>
      </c>
      <c r="D47" s="73">
        <v>1000</v>
      </c>
      <c r="E47" s="74">
        <f t="shared" si="1"/>
        <v>1000</v>
      </c>
    </row>
    <row r="48" spans="1:5" ht="43.5" customHeight="1">
      <c r="A48" s="87" t="s">
        <v>99</v>
      </c>
      <c r="B48" s="90" t="s">
        <v>13</v>
      </c>
      <c r="C48" s="93">
        <f>C8</f>
        <v>1</v>
      </c>
      <c r="D48" s="94">
        <v>1500</v>
      </c>
      <c r="E48" s="115">
        <f t="shared" si="1"/>
        <v>1500</v>
      </c>
    </row>
    <row r="49" spans="1:5" ht="24" customHeight="1">
      <c r="A49" s="60" t="s">
        <v>36</v>
      </c>
      <c r="B49" s="43"/>
      <c r="C49" s="45"/>
      <c r="D49" s="23"/>
      <c r="E49" s="117"/>
    </row>
    <row r="50" spans="1:5" ht="70.5" customHeight="1">
      <c r="A50" s="38" t="s">
        <v>77</v>
      </c>
      <c r="B50" s="59" t="s">
        <v>25</v>
      </c>
      <c r="C50" s="9">
        <v>0</v>
      </c>
      <c r="D50" s="10">
        <v>300</v>
      </c>
      <c r="E50" s="116">
        <f>C50*D50</f>
        <v>0</v>
      </c>
    </row>
    <row r="51" spans="1:5" ht="70.5" customHeight="1">
      <c r="A51" s="38" t="s">
        <v>96</v>
      </c>
      <c r="B51" s="59" t="s">
        <v>10</v>
      </c>
      <c r="C51" s="9">
        <f>(C10+C5)*C13</f>
        <v>74.664</v>
      </c>
      <c r="D51" s="10">
        <v>40</v>
      </c>
      <c r="E51" s="116">
        <f>C51*D51</f>
        <v>2986.56</v>
      </c>
    </row>
    <row r="52" spans="1:5" ht="92.25" customHeight="1" thickBot="1">
      <c r="A52" s="87" t="s">
        <v>69</v>
      </c>
      <c r="B52" s="90" t="s">
        <v>10</v>
      </c>
      <c r="C52" s="91">
        <f>C22*(0.2+0.2+0.1+0.1)+C23*(0.15+0.15+0.15+0.15)*6+C23*(C29+1.5)*(0.15+0.15+0.05+0.05)+C31</f>
        <v>158.43714285714282</v>
      </c>
      <c r="D52" s="92">
        <v>20</v>
      </c>
      <c r="E52" s="119">
        <f>C52*D52</f>
        <v>3168.7428571428563</v>
      </c>
    </row>
    <row r="53" spans="1:5" ht="19.5" thickBot="1">
      <c r="A53" s="52" t="s">
        <v>37</v>
      </c>
      <c r="B53" s="19"/>
      <c r="C53" s="30"/>
      <c r="D53" s="31"/>
      <c r="E53" s="120">
        <f>SUM(E4:E52)</f>
        <v>145369.86981901215</v>
      </c>
    </row>
    <row r="54" spans="1:5" ht="19.5" thickBot="1">
      <c r="A54" s="64" t="s">
        <v>52</v>
      </c>
      <c r="B54" s="65"/>
      <c r="C54" s="66"/>
      <c r="D54" s="65"/>
      <c r="E54" s="67">
        <f>'Фундамент ( плита с роств )'!E41</f>
        <v>32551.2</v>
      </c>
    </row>
    <row r="55" spans="1:5" ht="15.75" thickBot="1">
      <c r="A55" s="68" t="s">
        <v>57</v>
      </c>
      <c r="B55" s="69"/>
      <c r="C55" s="70"/>
      <c r="D55" s="70"/>
      <c r="E55" s="71">
        <f>SUM(E53:E54)</f>
        <v>177921.06981901216</v>
      </c>
    </row>
    <row r="56" spans="1:5" ht="15">
      <c r="A56" s="35"/>
      <c r="B56" s="37"/>
      <c r="C56" s="36"/>
      <c r="D56" s="36"/>
      <c r="E56" s="96"/>
    </row>
    <row r="57" spans="1:5" ht="15">
      <c r="A57" s="35"/>
      <c r="B57" s="37"/>
      <c r="C57" s="36"/>
      <c r="D57" s="36"/>
      <c r="E57" s="96"/>
    </row>
    <row r="58" spans="1:5" ht="15">
      <c r="A58" s="35"/>
      <c r="B58" s="37"/>
      <c r="C58" s="36"/>
      <c r="D58" s="36"/>
      <c r="E58" s="96"/>
    </row>
    <row r="59" spans="1:5" ht="15">
      <c r="A59" s="35"/>
      <c r="B59" s="37"/>
      <c r="C59" s="36"/>
      <c r="D59" s="36"/>
      <c r="E59" s="96"/>
    </row>
    <row r="60" spans="1:5" ht="15">
      <c r="A60" t="s">
        <v>4</v>
      </c>
      <c r="E60" s="33"/>
    </row>
    <row r="61" spans="1:5" ht="15">
      <c r="A61" t="s">
        <v>5</v>
      </c>
      <c r="E61" s="33"/>
    </row>
    <row r="62" spans="1:2" ht="15">
      <c r="A62" t="s">
        <v>6</v>
      </c>
      <c r="B62" t="s">
        <v>104</v>
      </c>
    </row>
  </sheetData>
  <sheetProtection password="D290" sheet="1" objects="1" scenarios="1" selectLockedCells="1" selectUnlockedCells="1"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</cp:lastModifiedBy>
  <cp:lastPrinted>2010-01-09T14:16:59Z</cp:lastPrinted>
  <dcterms:created xsi:type="dcterms:W3CDTF">2008-03-31T16:17:25Z</dcterms:created>
  <dcterms:modified xsi:type="dcterms:W3CDTF">2010-01-15T22:33:04Z</dcterms:modified>
  <cp:category/>
  <cp:version/>
  <cp:contentType/>
  <cp:contentStatus/>
</cp:coreProperties>
</file>